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workbookProtection workbookPassword="DE52" lockStructure="1"/>
  <bookViews>
    <workbookView xWindow="720" yWindow="360" windowWidth="17955" windowHeight="10260"/>
  </bookViews>
  <sheets>
    <sheet name="Web-site Calculator - 5-14-14" sheetId="1" r:id="rId1"/>
  </sheets>
  <definedNames>
    <definedName name="_xlnm.Print_Area" localSheetId="0">'Web-site Calculator - 5-14-14'!$J$11:$U$111</definedName>
  </definedNames>
  <calcPr calcId="144525" iterate="1"/>
</workbook>
</file>

<file path=xl/calcChain.xml><?xml version="1.0" encoding="utf-8"?>
<calcChain xmlns="http://schemas.openxmlformats.org/spreadsheetml/2006/main">
  <c r="M33" i="1" l="1"/>
  <c r="O22" i="1" l="1"/>
  <c r="H5" i="1" s="1"/>
  <c r="H4" i="1"/>
  <c r="H3" i="1"/>
  <c r="Q74" i="1" l="1"/>
  <c r="I273" i="1" l="1"/>
  <c r="I274" i="1" s="1"/>
  <c r="I275" i="1" s="1"/>
  <c r="I276" i="1" s="1"/>
  <c r="I277" i="1" s="1"/>
  <c r="I278" i="1" s="1"/>
  <c r="I279" i="1" s="1"/>
  <c r="I280" i="1" s="1"/>
  <c r="G272" i="1"/>
  <c r="G260" i="1"/>
  <c r="G259" i="1"/>
  <c r="G258"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G224" i="1"/>
  <c r="G225" i="1" s="1"/>
  <c r="D224" i="1"/>
  <c r="D223" i="1"/>
  <c r="D215" i="1"/>
  <c r="G214" i="1"/>
  <c r="F214" i="1"/>
  <c r="E214" i="1"/>
  <c r="D214" i="1"/>
  <c r="G213" i="1"/>
  <c r="F213" i="1"/>
  <c r="E213" i="1"/>
  <c r="D213" i="1"/>
  <c r="O212" i="1"/>
  <c r="C212" i="1"/>
  <c r="D211" i="1"/>
  <c r="J210" i="1"/>
  <c r="I210" i="1"/>
  <c r="D210" i="1"/>
  <c r="G209" i="1"/>
  <c r="F209" i="1"/>
  <c r="E209" i="1"/>
  <c r="D209" i="1"/>
  <c r="O208" i="1"/>
  <c r="C208" i="1"/>
  <c r="Z206" i="1"/>
  <c r="F202" i="1"/>
  <c r="D202" i="1"/>
  <c r="C202" i="1"/>
  <c r="G200" i="1"/>
  <c r="F200" i="1"/>
  <c r="M208" i="1" s="1"/>
  <c r="E200" i="1"/>
  <c r="D200" i="1"/>
  <c r="C200" i="1"/>
  <c r="D195" i="1"/>
  <c r="G194" i="1"/>
  <c r="F194" i="1"/>
  <c r="E194" i="1"/>
  <c r="D194" i="1"/>
  <c r="G193" i="1"/>
  <c r="F193" i="1"/>
  <c r="E193" i="1"/>
  <c r="D193" i="1"/>
  <c r="C192" i="1"/>
  <c r="D191" i="1"/>
  <c r="I190" i="1"/>
  <c r="D190" i="1"/>
  <c r="G189" i="1"/>
  <c r="F189" i="1"/>
  <c r="E189" i="1"/>
  <c r="D189" i="1"/>
  <c r="C188" i="1"/>
  <c r="O187" i="1"/>
  <c r="M187" i="1"/>
  <c r="G180" i="1"/>
  <c r="F180" i="1" s="1"/>
  <c r="E180" i="1" s="1"/>
  <c r="D176" i="1"/>
  <c r="G175" i="1"/>
  <c r="F175" i="1"/>
  <c r="E175" i="1"/>
  <c r="D175" i="1"/>
  <c r="G174" i="1"/>
  <c r="F174" i="1"/>
  <c r="E174" i="1"/>
  <c r="D174" i="1"/>
  <c r="C173" i="1"/>
  <c r="D172" i="1"/>
  <c r="I171" i="1"/>
  <c r="D171" i="1"/>
  <c r="G170" i="1"/>
  <c r="F170" i="1"/>
  <c r="E170" i="1"/>
  <c r="D170" i="1"/>
  <c r="C169" i="1"/>
  <c r="O168" i="1"/>
  <c r="M168" i="1"/>
  <c r="F161" i="1"/>
  <c r="E161" i="1" s="1"/>
  <c r="D159" i="1"/>
  <c r="G158" i="1"/>
  <c r="F158" i="1"/>
  <c r="E158" i="1"/>
  <c r="D158" i="1"/>
  <c r="G157" i="1"/>
  <c r="F157" i="1"/>
  <c r="E157" i="1"/>
  <c r="D157" i="1"/>
  <c r="C156" i="1"/>
  <c r="D155" i="1"/>
  <c r="I154" i="1"/>
  <c r="D154" i="1"/>
  <c r="G153" i="1"/>
  <c r="F153" i="1"/>
  <c r="E153" i="1"/>
  <c r="D153" i="1"/>
  <c r="C152" i="1"/>
  <c r="O151" i="1"/>
  <c r="M151" i="1"/>
  <c r="F144" i="1"/>
  <c r="E144" i="1" s="1"/>
  <c r="E142" i="1"/>
  <c r="F142" i="1" s="1"/>
  <c r="G142" i="1" s="1"/>
  <c r="E138" i="1"/>
  <c r="E215" i="1" s="1"/>
  <c r="I137" i="1"/>
  <c r="O134" i="1"/>
  <c r="M134" i="1"/>
  <c r="F127" i="1"/>
  <c r="E127" i="1" s="1"/>
  <c r="M121" i="1"/>
  <c r="X108" i="1"/>
  <c r="R108" i="1"/>
  <c r="Q108" i="1"/>
  <c r="P108" i="1"/>
  <c r="O108" i="1"/>
  <c r="D78" i="1"/>
  <c r="D79" i="1" s="1"/>
  <c r="D80" i="1" s="1"/>
  <c r="D81" i="1" s="1"/>
  <c r="D82" i="1" s="1"/>
  <c r="D83" i="1" s="1"/>
  <c r="D84" i="1" s="1"/>
  <c r="D85" i="1" s="1"/>
  <c r="D86" i="1" s="1"/>
  <c r="D87" i="1" s="1"/>
  <c r="D88" i="1" s="1"/>
  <c r="D89" i="1" s="1"/>
  <c r="D90" i="1" s="1"/>
  <c r="D91" i="1" s="1"/>
  <c r="D92" i="1" s="1"/>
  <c r="D93" i="1" s="1"/>
  <c r="D94" i="1" s="1"/>
  <c r="D95" i="1" s="1"/>
  <c r="D96" i="1" s="1"/>
  <c r="D97" i="1" s="1"/>
  <c r="D98" i="1" s="1"/>
  <c r="D99" i="1" s="1"/>
  <c r="D100" i="1" s="1"/>
  <c r="D101" i="1" s="1"/>
  <c r="D102" i="1" s="1"/>
  <c r="D103" i="1" s="1"/>
  <c r="D104" i="1" s="1"/>
  <c r="D105" i="1" s="1"/>
  <c r="D106" i="1" s="1"/>
  <c r="D107" i="1" s="1"/>
  <c r="M74" i="1"/>
  <c r="AM66" i="1"/>
  <c r="AI66" i="1"/>
  <c r="L66" i="1" s="1"/>
  <c r="K66" i="1"/>
  <c r="K64" i="1"/>
  <c r="AW63" i="1"/>
  <c r="L63" i="1"/>
  <c r="K63" i="1"/>
  <c r="AW62" i="1"/>
  <c r="AM62" i="1"/>
  <c r="AW61" i="1"/>
  <c r="AM61" i="1"/>
  <c r="AW60" i="1"/>
  <c r="K60" i="1"/>
  <c r="AW55" i="1"/>
  <c r="AM55" i="1"/>
  <c r="AW53" i="1"/>
  <c r="AW57" i="1" s="1"/>
  <c r="AM53" i="1"/>
  <c r="AI53" i="1"/>
  <c r="J50" i="1" s="1"/>
  <c r="AW52" i="1"/>
  <c r="AM52" i="1"/>
  <c r="AW51" i="1"/>
  <c r="AM51" i="1"/>
  <c r="AW50" i="1"/>
  <c r="AM50" i="1"/>
  <c r="AM57" i="1" s="1"/>
  <c r="AA50" i="1"/>
  <c r="V50" i="1"/>
  <c r="G47" i="1"/>
  <c r="B46" i="1"/>
  <c r="G45" i="1"/>
  <c r="G46" i="1" s="1"/>
  <c r="G43" i="1"/>
  <c r="G44" i="1" s="1"/>
  <c r="AB40" i="1"/>
  <c r="E40" i="1"/>
  <c r="E271" i="1" s="1"/>
  <c r="E272" i="1" s="1"/>
  <c r="E273" i="1" s="1"/>
  <c r="E274" i="1" s="1"/>
  <c r="E275" i="1" s="1"/>
  <c r="E276" i="1" s="1"/>
  <c r="E277" i="1" s="1"/>
  <c r="E278" i="1" s="1"/>
  <c r="E279" i="1" s="1"/>
  <c r="E280" i="1" s="1"/>
  <c r="E281" i="1" s="1"/>
  <c r="E282" i="1" s="1"/>
  <c r="E283" i="1" s="1"/>
  <c r="E284" i="1" s="1"/>
  <c r="E285" i="1" s="1"/>
  <c r="E286" i="1" s="1"/>
  <c r="E287" i="1" s="1"/>
  <c r="E288" i="1" s="1"/>
  <c r="E289" i="1" s="1"/>
  <c r="E290" i="1" s="1"/>
  <c r="E291" i="1" s="1"/>
  <c r="E292" i="1" s="1"/>
  <c r="E293" i="1" s="1"/>
  <c r="E294" i="1" s="1"/>
  <c r="E295" i="1" s="1"/>
  <c r="E296" i="1" s="1"/>
  <c r="E297" i="1" s="1"/>
  <c r="E298" i="1" s="1"/>
  <c r="E299" i="1" s="1"/>
  <c r="E300" i="1" s="1"/>
  <c r="E301" i="1" s="1"/>
  <c r="E302" i="1" s="1"/>
  <c r="E303" i="1" s="1"/>
  <c r="E304" i="1" s="1"/>
  <c r="E305" i="1" s="1"/>
  <c r="E306" i="1" s="1"/>
  <c r="E307" i="1" s="1"/>
  <c r="E308" i="1" s="1"/>
  <c r="E309" i="1" s="1"/>
  <c r="E310" i="1" s="1"/>
  <c r="E311" i="1" s="1"/>
  <c r="E312" i="1" s="1"/>
  <c r="E313" i="1" s="1"/>
  <c r="E314" i="1" s="1"/>
  <c r="E315" i="1" s="1"/>
  <c r="E316" i="1" s="1"/>
  <c r="E317" i="1" s="1"/>
  <c r="E318" i="1" s="1"/>
  <c r="E319" i="1" s="1"/>
  <c r="E320" i="1" s="1"/>
  <c r="E321" i="1" s="1"/>
  <c r="E322" i="1" s="1"/>
  <c r="E323" i="1" s="1"/>
  <c r="E324" i="1" s="1"/>
  <c r="E325" i="1" s="1"/>
  <c r="E326" i="1" s="1"/>
  <c r="E327" i="1" s="1"/>
  <c r="E328" i="1" s="1"/>
  <c r="E329" i="1" s="1"/>
  <c r="E330" i="1" s="1"/>
  <c r="E331" i="1" s="1"/>
  <c r="E332" i="1" s="1"/>
  <c r="E333" i="1" s="1"/>
  <c r="E334" i="1" s="1"/>
  <c r="E335" i="1" s="1"/>
  <c r="E336" i="1" s="1"/>
  <c r="E337" i="1" s="1"/>
  <c r="E338" i="1" s="1"/>
  <c r="E339" i="1" s="1"/>
  <c r="E340" i="1" s="1"/>
  <c r="E341" i="1" s="1"/>
  <c r="E342" i="1" s="1"/>
  <c r="E343" i="1" s="1"/>
  <c r="E344" i="1" s="1"/>
  <c r="E345" i="1" s="1"/>
  <c r="E346" i="1" s="1"/>
  <c r="E347" i="1" s="1"/>
  <c r="E348" i="1" s="1"/>
  <c r="E349" i="1" s="1"/>
  <c r="E350" i="1" s="1"/>
  <c r="E351" i="1" s="1"/>
  <c r="E352" i="1" s="1"/>
  <c r="E353" i="1" s="1"/>
  <c r="E354" i="1" s="1"/>
  <c r="E355" i="1" s="1"/>
  <c r="E356" i="1" s="1"/>
  <c r="E357" i="1" s="1"/>
  <c r="E358" i="1" s="1"/>
  <c r="E359" i="1" s="1"/>
  <c r="E360" i="1" s="1"/>
  <c r="E361" i="1" s="1"/>
  <c r="E362" i="1" s="1"/>
  <c r="E363" i="1" s="1"/>
  <c r="E364" i="1" s="1"/>
  <c r="E365" i="1" s="1"/>
  <c r="E366" i="1" s="1"/>
  <c r="E367" i="1" s="1"/>
  <c r="E368" i="1" s="1"/>
  <c r="E369" i="1" s="1"/>
  <c r="E370" i="1" s="1"/>
  <c r="E371" i="1" s="1"/>
  <c r="E372" i="1" s="1"/>
  <c r="E373" i="1" s="1"/>
  <c r="E374" i="1" s="1"/>
  <c r="E375" i="1" s="1"/>
  <c r="E376" i="1" s="1"/>
  <c r="E377" i="1" s="1"/>
  <c r="E378" i="1" s="1"/>
  <c r="E379" i="1" s="1"/>
  <c r="E380" i="1" s="1"/>
  <c r="E381" i="1" s="1"/>
  <c r="E382" i="1" s="1"/>
  <c r="E383" i="1" s="1"/>
  <c r="E384" i="1" s="1"/>
  <c r="E385" i="1" s="1"/>
  <c r="E386" i="1" s="1"/>
  <c r="E387" i="1" s="1"/>
  <c r="E388" i="1" s="1"/>
  <c r="E389" i="1" s="1"/>
  <c r="E390" i="1" s="1"/>
  <c r="E391" i="1" s="1"/>
  <c r="E392" i="1" s="1"/>
  <c r="E393" i="1" s="1"/>
  <c r="E394" i="1" s="1"/>
  <c r="E395" i="1" s="1"/>
  <c r="E396" i="1" s="1"/>
  <c r="E397" i="1" s="1"/>
  <c r="E398" i="1" s="1"/>
  <c r="E399" i="1" s="1"/>
  <c r="E400" i="1" s="1"/>
  <c r="E401" i="1" s="1"/>
  <c r="E402" i="1" s="1"/>
  <c r="E403" i="1" s="1"/>
  <c r="E404" i="1" s="1"/>
  <c r="E405" i="1" s="1"/>
  <c r="E406" i="1" s="1"/>
  <c r="E407" i="1" s="1"/>
  <c r="E408" i="1" s="1"/>
  <c r="E409" i="1" s="1"/>
  <c r="E410" i="1" s="1"/>
  <c r="E411" i="1" s="1"/>
  <c r="E412" i="1" s="1"/>
  <c r="E413" i="1" s="1"/>
  <c r="E414" i="1" s="1"/>
  <c r="E415" i="1" s="1"/>
  <c r="E416" i="1" s="1"/>
  <c r="E417" i="1" s="1"/>
  <c r="E418" i="1" s="1"/>
  <c r="E419" i="1" s="1"/>
  <c r="E420" i="1" s="1"/>
  <c r="E421" i="1" s="1"/>
  <c r="E422" i="1" s="1"/>
  <c r="E423" i="1" s="1"/>
  <c r="E424" i="1" s="1"/>
  <c r="E425" i="1" s="1"/>
  <c r="E426" i="1" s="1"/>
  <c r="E427" i="1" s="1"/>
  <c r="E428" i="1" s="1"/>
  <c r="E429" i="1" s="1"/>
  <c r="E430" i="1" s="1"/>
  <c r="E431" i="1" s="1"/>
  <c r="E432" i="1" s="1"/>
  <c r="E433" i="1" s="1"/>
  <c r="E434" i="1" s="1"/>
  <c r="E435" i="1" s="1"/>
  <c r="E436" i="1" s="1"/>
  <c r="E437" i="1" s="1"/>
  <c r="E438" i="1" s="1"/>
  <c r="E439" i="1" s="1"/>
  <c r="E440" i="1" s="1"/>
  <c r="E441" i="1" s="1"/>
  <c r="E442" i="1" s="1"/>
  <c r="E443" i="1" s="1"/>
  <c r="E444" i="1" s="1"/>
  <c r="E445" i="1" s="1"/>
  <c r="E446" i="1" s="1"/>
  <c r="E447" i="1" s="1"/>
  <c r="E448" i="1" s="1"/>
  <c r="E449" i="1" s="1"/>
  <c r="E450" i="1" s="1"/>
  <c r="E451" i="1" s="1"/>
  <c r="E452" i="1" s="1"/>
  <c r="E453" i="1" s="1"/>
  <c r="E454" i="1" s="1"/>
  <c r="E455" i="1" s="1"/>
  <c r="E456" i="1" s="1"/>
  <c r="E457" i="1" s="1"/>
  <c r="E458" i="1" s="1"/>
  <c r="E459" i="1" s="1"/>
  <c r="E460" i="1" s="1"/>
  <c r="E461" i="1" s="1"/>
  <c r="E462" i="1" s="1"/>
  <c r="E463" i="1" s="1"/>
  <c r="E464" i="1" s="1"/>
  <c r="E465" i="1" s="1"/>
  <c r="E466" i="1" s="1"/>
  <c r="E467" i="1" s="1"/>
  <c r="E468" i="1" s="1"/>
  <c r="E469" i="1" s="1"/>
  <c r="E470" i="1" s="1"/>
  <c r="E471" i="1" s="1"/>
  <c r="E472" i="1" s="1"/>
  <c r="E473" i="1" s="1"/>
  <c r="E474" i="1" s="1"/>
  <c r="E475" i="1" s="1"/>
  <c r="E476" i="1" s="1"/>
  <c r="E477" i="1" s="1"/>
  <c r="E478" i="1" s="1"/>
  <c r="E479" i="1" s="1"/>
  <c r="E480" i="1" s="1"/>
  <c r="E481" i="1" s="1"/>
  <c r="E482" i="1" s="1"/>
  <c r="E483" i="1" s="1"/>
  <c r="E484" i="1" s="1"/>
  <c r="E485" i="1" s="1"/>
  <c r="E486" i="1" s="1"/>
  <c r="E487" i="1" s="1"/>
  <c r="E488" i="1" s="1"/>
  <c r="E489" i="1" s="1"/>
  <c r="E490" i="1" s="1"/>
  <c r="E491" i="1" s="1"/>
  <c r="E492" i="1" s="1"/>
  <c r="E493" i="1" s="1"/>
  <c r="E494" i="1" s="1"/>
  <c r="E495" i="1" s="1"/>
  <c r="E496" i="1" s="1"/>
  <c r="E497" i="1" s="1"/>
  <c r="E498" i="1" s="1"/>
  <c r="E499" i="1" s="1"/>
  <c r="E500" i="1" s="1"/>
  <c r="E501" i="1" s="1"/>
  <c r="E502" i="1" s="1"/>
  <c r="E503" i="1" s="1"/>
  <c r="E504" i="1" s="1"/>
  <c r="E505" i="1" s="1"/>
  <c r="E506" i="1" s="1"/>
  <c r="E507" i="1" s="1"/>
  <c r="E508" i="1" s="1"/>
  <c r="E509" i="1" s="1"/>
  <c r="E510" i="1" s="1"/>
  <c r="E511" i="1" s="1"/>
  <c r="E512" i="1" s="1"/>
  <c r="E513" i="1" s="1"/>
  <c r="E514" i="1" s="1"/>
  <c r="E515" i="1" s="1"/>
  <c r="E516" i="1" s="1"/>
  <c r="E517" i="1" s="1"/>
  <c r="E518" i="1" s="1"/>
  <c r="E519" i="1" s="1"/>
  <c r="E520" i="1" s="1"/>
  <c r="E521" i="1" s="1"/>
  <c r="E522" i="1" s="1"/>
  <c r="E523" i="1" s="1"/>
  <c r="E524" i="1" s="1"/>
  <c r="E525" i="1" s="1"/>
  <c r="E526" i="1" s="1"/>
  <c r="E527" i="1" s="1"/>
  <c r="E528" i="1" s="1"/>
  <c r="E529" i="1" s="1"/>
  <c r="E530" i="1" s="1"/>
  <c r="E531" i="1" s="1"/>
  <c r="E532" i="1" s="1"/>
  <c r="E533" i="1" s="1"/>
  <c r="E534" i="1" s="1"/>
  <c r="E535" i="1" s="1"/>
  <c r="E536" i="1" s="1"/>
  <c r="E537" i="1" s="1"/>
  <c r="E538" i="1" s="1"/>
  <c r="E539" i="1" s="1"/>
  <c r="E540" i="1" s="1"/>
  <c r="E541" i="1" s="1"/>
  <c r="E542" i="1" s="1"/>
  <c r="E543" i="1" s="1"/>
  <c r="E544" i="1" s="1"/>
  <c r="E545" i="1" s="1"/>
  <c r="E546" i="1" s="1"/>
  <c r="E547" i="1" s="1"/>
  <c r="E548" i="1" s="1"/>
  <c r="E549" i="1" s="1"/>
  <c r="E550" i="1" s="1"/>
  <c r="E551" i="1" s="1"/>
  <c r="E552" i="1" s="1"/>
  <c r="E553" i="1" s="1"/>
  <c r="E554" i="1" s="1"/>
  <c r="E555" i="1" s="1"/>
  <c r="E556" i="1" s="1"/>
  <c r="E557" i="1" s="1"/>
  <c r="E558" i="1" s="1"/>
  <c r="E559" i="1" s="1"/>
  <c r="E560" i="1" s="1"/>
  <c r="E561" i="1" s="1"/>
  <c r="E562" i="1" s="1"/>
  <c r="E563" i="1" s="1"/>
  <c r="E564" i="1" s="1"/>
  <c r="E565" i="1" s="1"/>
  <c r="E566" i="1" s="1"/>
  <c r="E567" i="1" s="1"/>
  <c r="E568" i="1" s="1"/>
  <c r="E569" i="1" s="1"/>
  <c r="E570" i="1" s="1"/>
  <c r="E571" i="1" s="1"/>
  <c r="E572" i="1" s="1"/>
  <c r="E573" i="1" s="1"/>
  <c r="E574" i="1" s="1"/>
  <c r="E575" i="1" s="1"/>
  <c r="E576" i="1" s="1"/>
  <c r="E577" i="1" s="1"/>
  <c r="E578" i="1" s="1"/>
  <c r="E579" i="1" s="1"/>
  <c r="E580" i="1" s="1"/>
  <c r="E581" i="1" s="1"/>
  <c r="E582" i="1" s="1"/>
  <c r="E583" i="1" s="1"/>
  <c r="E584" i="1" s="1"/>
  <c r="E585" i="1" s="1"/>
  <c r="E586" i="1" s="1"/>
  <c r="E587" i="1" s="1"/>
  <c r="E588" i="1" s="1"/>
  <c r="E589" i="1" s="1"/>
  <c r="E590" i="1" s="1"/>
  <c r="E591" i="1" s="1"/>
  <c r="E592" i="1" s="1"/>
  <c r="E593" i="1" s="1"/>
  <c r="E594" i="1" s="1"/>
  <c r="E595" i="1" s="1"/>
  <c r="E596" i="1" s="1"/>
  <c r="E597" i="1" s="1"/>
  <c r="E598" i="1" s="1"/>
  <c r="E599" i="1" s="1"/>
  <c r="E600" i="1" s="1"/>
  <c r="E601" i="1" s="1"/>
  <c r="E602" i="1" s="1"/>
  <c r="E603" i="1" s="1"/>
  <c r="E604" i="1" s="1"/>
  <c r="E605" i="1" s="1"/>
  <c r="E606" i="1" s="1"/>
  <c r="E607" i="1" s="1"/>
  <c r="E608" i="1" s="1"/>
  <c r="E609" i="1" s="1"/>
  <c r="E610" i="1" s="1"/>
  <c r="E611" i="1" s="1"/>
  <c r="E612" i="1" s="1"/>
  <c r="E613" i="1" s="1"/>
  <c r="E614" i="1" s="1"/>
  <c r="E615" i="1" s="1"/>
  <c r="E616" i="1" s="1"/>
  <c r="E617" i="1" s="1"/>
  <c r="E618" i="1" s="1"/>
  <c r="E619" i="1" s="1"/>
  <c r="E620" i="1" s="1"/>
  <c r="E621" i="1" s="1"/>
  <c r="E622" i="1" s="1"/>
  <c r="E623" i="1" s="1"/>
  <c r="E624" i="1" s="1"/>
  <c r="E625" i="1" s="1"/>
  <c r="E626" i="1" s="1"/>
  <c r="E627" i="1" s="1"/>
  <c r="E628" i="1" s="1"/>
  <c r="E629" i="1" s="1"/>
  <c r="E630" i="1" s="1"/>
  <c r="E631" i="1" s="1"/>
  <c r="C40" i="1"/>
  <c r="I39" i="1"/>
  <c r="G39" i="1"/>
  <c r="M39" i="1" s="1"/>
  <c r="W37" i="1"/>
  <c r="F35" i="1"/>
  <c r="N220" i="1"/>
  <c r="G33" i="1"/>
  <c r="M31" i="1"/>
  <c r="G31" i="1"/>
  <c r="G30" i="1"/>
  <c r="M29" i="1"/>
  <c r="M184" i="1" s="1"/>
  <c r="J29" i="1"/>
  <c r="H26" i="1"/>
  <c r="G26" i="1"/>
  <c r="O220" i="1" s="1"/>
  <c r="D26" i="1"/>
  <c r="I219" i="1" s="1"/>
  <c r="G219" i="1" s="1"/>
  <c r="C25" i="1"/>
  <c r="G25" i="1" s="1"/>
  <c r="C24" i="1"/>
  <c r="C23" i="1"/>
  <c r="M9" i="1"/>
  <c r="G9" i="1"/>
  <c r="G8" i="1"/>
  <c r="G7" i="1"/>
  <c r="P2" i="1"/>
  <c r="F2" i="1"/>
  <c r="E2" i="1"/>
  <c r="D2" i="1"/>
  <c r="F25" i="1" s="1"/>
  <c r="O1" i="1"/>
  <c r="G48" i="1" s="1"/>
  <c r="F138" i="1" l="1"/>
  <c r="F211" i="1" s="1"/>
  <c r="G273" i="1"/>
  <c r="M122" i="1"/>
  <c r="M269" i="1" s="1"/>
  <c r="G23" i="1"/>
  <c r="F24" i="1"/>
  <c r="G226" i="1"/>
  <c r="AF48" i="1"/>
  <c r="F31" i="1"/>
  <c r="M123" i="1"/>
  <c r="O123" i="1" s="1"/>
  <c r="M185" i="1"/>
  <c r="M186" i="1" s="1"/>
  <c r="O184" i="1"/>
  <c r="J48" i="1"/>
  <c r="D23" i="1"/>
  <c r="F23" i="1"/>
  <c r="E24" i="1"/>
  <c r="G24" i="1"/>
  <c r="D25" i="1"/>
  <c r="M35" i="1"/>
  <c r="E35" i="1" s="1"/>
  <c r="F37" i="1"/>
  <c r="E45" i="1"/>
  <c r="G72" i="1"/>
  <c r="F74" i="1"/>
  <c r="M128" i="1"/>
  <c r="M131" i="1"/>
  <c r="I135" i="1"/>
  <c r="G138" i="1"/>
  <c r="I152" i="1"/>
  <c r="E155" i="1"/>
  <c r="F159" i="1"/>
  <c r="I169" i="1"/>
  <c r="E172" i="1"/>
  <c r="F176" i="1"/>
  <c r="M181" i="1"/>
  <c r="I188" i="1"/>
  <c r="E191" i="1"/>
  <c r="E195" i="1"/>
  <c r="I196" i="1"/>
  <c r="E211" i="1"/>
  <c r="F215" i="1"/>
  <c r="G261" i="1"/>
  <c r="G264" i="1"/>
  <c r="O269" i="1"/>
  <c r="G274" i="1"/>
  <c r="G276" i="1"/>
  <c r="G278" i="1"/>
  <c r="E23" i="1"/>
  <c r="M27" i="1" s="1"/>
  <c r="D24" i="1"/>
  <c r="E25" i="1"/>
  <c r="F40" i="1"/>
  <c r="B47" i="1"/>
  <c r="J47" i="1"/>
  <c r="A60" i="1"/>
  <c r="E75" i="1"/>
  <c r="G75" i="1"/>
  <c r="O121" i="1"/>
  <c r="O131" i="1"/>
  <c r="M145" i="1"/>
  <c r="M148" i="1"/>
  <c r="F155" i="1"/>
  <c r="E159" i="1"/>
  <c r="M162" i="1"/>
  <c r="M165" i="1"/>
  <c r="F172" i="1"/>
  <c r="E176" i="1"/>
  <c r="F191" i="1"/>
  <c r="F195" i="1"/>
  <c r="I207" i="1"/>
  <c r="G207" i="1" s="1"/>
  <c r="AA207" i="1"/>
  <c r="Z207" i="1" s="1"/>
  <c r="I208" i="1"/>
  <c r="E222" i="1"/>
  <c r="I224" i="1"/>
  <c r="I281" i="1"/>
  <c r="G280" i="1"/>
  <c r="G275" i="1"/>
  <c r="G277" i="1"/>
  <c r="G279" i="1"/>
  <c r="O122" i="1" l="1"/>
  <c r="D133" i="1"/>
  <c r="P4" i="1"/>
  <c r="D168" i="1"/>
  <c r="D167" i="1"/>
  <c r="D151" i="1"/>
  <c r="D150" i="1"/>
  <c r="M28" i="1"/>
  <c r="P3" i="1"/>
  <c r="F223" i="1"/>
  <c r="I282" i="1"/>
  <c r="G281" i="1"/>
  <c r="J211" i="1"/>
  <c r="E168" i="1"/>
  <c r="E167" i="1"/>
  <c r="M166" i="1"/>
  <c r="M167" i="1" s="1"/>
  <c r="O165" i="1"/>
  <c r="E151" i="1"/>
  <c r="E150" i="1"/>
  <c r="M149" i="1"/>
  <c r="M150" i="1" s="1"/>
  <c r="O148" i="1"/>
  <c r="O132" i="1"/>
  <c r="O133" i="1" s="1"/>
  <c r="O199" i="1"/>
  <c r="F262" i="1"/>
  <c r="F222" i="1"/>
  <c r="F75" i="1"/>
  <c r="M199" i="1"/>
  <c r="E133" i="1"/>
  <c r="M132" i="1"/>
  <c r="M133" i="1" s="1"/>
  <c r="G74" i="1"/>
  <c r="O75" i="1"/>
  <c r="E267" i="1"/>
  <c r="E46" i="1"/>
  <c r="F45" i="1"/>
  <c r="O124" i="1"/>
  <c r="O125" i="1" s="1"/>
  <c r="F77" i="1"/>
  <c r="F78" i="1" s="1"/>
  <c r="F79" i="1" s="1"/>
  <c r="F80" i="1" s="1"/>
  <c r="F81" i="1" s="1"/>
  <c r="F82" i="1" s="1"/>
  <c r="F83" i="1" s="1"/>
  <c r="F84" i="1" s="1"/>
  <c r="F85" i="1" s="1"/>
  <c r="F86" i="1" s="1"/>
  <c r="F87" i="1" s="1"/>
  <c r="F88" i="1" s="1"/>
  <c r="F89" i="1" s="1"/>
  <c r="F90" i="1" s="1"/>
  <c r="F91" i="1" s="1"/>
  <c r="F92" i="1" s="1"/>
  <c r="F93" i="1" s="1"/>
  <c r="F94" i="1" s="1"/>
  <c r="F95" i="1" s="1"/>
  <c r="F96" i="1" s="1"/>
  <c r="F97" i="1" s="1"/>
  <c r="F98" i="1" s="1"/>
  <c r="F99" i="1" s="1"/>
  <c r="F100" i="1" s="1"/>
  <c r="F101" i="1" s="1"/>
  <c r="F102" i="1" s="1"/>
  <c r="F103" i="1" s="1"/>
  <c r="F104" i="1" s="1"/>
  <c r="F105" i="1" s="1"/>
  <c r="F106" i="1" s="1"/>
  <c r="F107" i="1" s="1"/>
  <c r="M272" i="1"/>
  <c r="D267" i="1"/>
  <c r="G215" i="1"/>
  <c r="G176" i="1"/>
  <c r="G159" i="1"/>
  <c r="G211" i="1"/>
  <c r="G195" i="1"/>
  <c r="G191" i="1"/>
  <c r="G172" i="1"/>
  <c r="G155" i="1"/>
  <c r="J191" i="1"/>
  <c r="J172" i="1"/>
  <c r="J155" i="1"/>
  <c r="J138" i="1"/>
  <c r="O185" i="1"/>
  <c r="O186" i="1" s="1"/>
  <c r="G227" i="1"/>
  <c r="I226" i="1"/>
  <c r="M124" i="1"/>
  <c r="P5" i="1" l="1"/>
  <c r="P6" i="1" s="1"/>
  <c r="P7" i="1" s="1"/>
  <c r="P8" i="1" s="1"/>
  <c r="I8" i="1" s="1"/>
  <c r="M270" i="1"/>
  <c r="M125" i="1"/>
  <c r="O32" i="1"/>
  <c r="G228" i="1"/>
  <c r="O272" i="1"/>
  <c r="F272" i="1"/>
  <c r="M205" i="1"/>
  <c r="M200" i="1"/>
  <c r="M201" i="1" s="1"/>
  <c r="O149" i="1"/>
  <c r="O150" i="1" s="1"/>
  <c r="C204" i="1"/>
  <c r="C131" i="1"/>
  <c r="C165" i="1"/>
  <c r="C148" i="1"/>
  <c r="F264" i="1"/>
  <c r="F267" i="1"/>
  <c r="F46" i="1"/>
  <c r="G78" i="1"/>
  <c r="G262" i="1"/>
  <c r="O205" i="1"/>
  <c r="O200" i="1"/>
  <c r="O201" i="1" s="1"/>
  <c r="O166" i="1"/>
  <c r="O167" i="1" s="1"/>
  <c r="I283" i="1"/>
  <c r="G282" i="1"/>
  <c r="F224" i="1"/>
  <c r="E12" i="1" l="1"/>
  <c r="A1" i="1"/>
  <c r="G79" i="1"/>
  <c r="C232" i="1"/>
  <c r="C236" i="1"/>
  <c r="C240" i="1"/>
  <c r="C244" i="1"/>
  <c r="C248" i="1"/>
  <c r="C252" i="1"/>
  <c r="C227" i="1"/>
  <c r="C233" i="1"/>
  <c r="C237" i="1"/>
  <c r="C241" i="1"/>
  <c r="C245" i="1"/>
  <c r="C249" i="1"/>
  <c r="C223" i="1"/>
  <c r="C229" i="1"/>
  <c r="C230" i="1"/>
  <c r="C234" i="1"/>
  <c r="C238" i="1"/>
  <c r="C242" i="1"/>
  <c r="C246" i="1"/>
  <c r="C250" i="1"/>
  <c r="C225" i="1"/>
  <c r="C231" i="1"/>
  <c r="C235" i="1"/>
  <c r="C239" i="1"/>
  <c r="C243" i="1"/>
  <c r="C247" i="1"/>
  <c r="C251" i="1"/>
  <c r="C224" i="1"/>
  <c r="C226" i="1"/>
  <c r="C228" i="1"/>
  <c r="C253" i="1"/>
  <c r="M273" i="1"/>
  <c r="F225" i="1"/>
  <c r="I284" i="1"/>
  <c r="G283" i="1"/>
  <c r="M204" i="1"/>
  <c r="O204" i="1"/>
  <c r="I228" i="1"/>
  <c r="G229" i="1"/>
  <c r="W228" i="1"/>
  <c r="G230" i="1" l="1"/>
  <c r="I229" i="1"/>
  <c r="I285" i="1"/>
  <c r="G284" i="1"/>
  <c r="G80" i="1"/>
  <c r="F226" i="1"/>
  <c r="O273" i="1"/>
  <c r="F273" i="1"/>
  <c r="M274" i="1" l="1"/>
  <c r="F227" i="1"/>
  <c r="G81" i="1"/>
  <c r="I286" i="1"/>
  <c r="G285" i="1"/>
  <c r="G231" i="1"/>
  <c r="G82" i="1" l="1"/>
  <c r="O274" i="1"/>
  <c r="F274" i="1"/>
  <c r="G232" i="1"/>
  <c r="I287" i="1"/>
  <c r="G286" i="1"/>
  <c r="F228" i="1"/>
  <c r="M275" i="1" l="1"/>
  <c r="G83" i="1"/>
  <c r="F229" i="1"/>
  <c r="I288" i="1"/>
  <c r="G287" i="1"/>
  <c r="G233" i="1"/>
  <c r="F230" i="1" l="1"/>
  <c r="O275" i="1"/>
  <c r="F275" i="1"/>
  <c r="G234" i="1"/>
  <c r="I289" i="1"/>
  <c r="G288" i="1"/>
  <c r="G84" i="1"/>
  <c r="G235" i="1" l="1"/>
  <c r="F231" i="1"/>
  <c r="G85" i="1"/>
  <c r="I290" i="1"/>
  <c r="G289" i="1"/>
  <c r="M276" i="1"/>
  <c r="O276" i="1" l="1"/>
  <c r="F276" i="1"/>
  <c r="I291" i="1"/>
  <c r="G290" i="1"/>
  <c r="F232" i="1"/>
  <c r="G236" i="1"/>
  <c r="G86" i="1"/>
  <c r="F233" i="1" l="1"/>
  <c r="I292" i="1"/>
  <c r="G291" i="1"/>
  <c r="G87" i="1"/>
  <c r="G237" i="1"/>
  <c r="M277" i="1"/>
  <c r="O277" i="1" l="1"/>
  <c r="F277" i="1"/>
  <c r="I293" i="1"/>
  <c r="G292" i="1"/>
  <c r="G238" i="1"/>
  <c r="G88" i="1"/>
  <c r="F234" i="1"/>
  <c r="F235" i="1" l="1"/>
  <c r="G89" i="1"/>
  <c r="G239" i="1"/>
  <c r="I294" i="1"/>
  <c r="G293" i="1"/>
  <c r="M278" i="1"/>
  <c r="O278" i="1" l="1"/>
  <c r="F278" i="1"/>
  <c r="I295" i="1"/>
  <c r="G294" i="1"/>
  <c r="G240" i="1"/>
  <c r="G90" i="1"/>
  <c r="F236" i="1"/>
  <c r="F237" i="1" l="1"/>
  <c r="G91" i="1"/>
  <c r="G241" i="1"/>
  <c r="I296" i="1"/>
  <c r="G295" i="1"/>
  <c r="M279" i="1"/>
  <c r="O279" i="1" l="1"/>
  <c r="F279" i="1"/>
  <c r="I297" i="1"/>
  <c r="G296" i="1"/>
  <c r="G242" i="1"/>
  <c r="G92" i="1"/>
  <c r="F238" i="1"/>
  <c r="F239" i="1" l="1"/>
  <c r="G93" i="1"/>
  <c r="G243" i="1"/>
  <c r="I298" i="1"/>
  <c r="G297" i="1"/>
  <c r="M280" i="1"/>
  <c r="O280" i="1" l="1"/>
  <c r="F280" i="1"/>
  <c r="I299" i="1"/>
  <c r="G298" i="1"/>
  <c r="G244" i="1"/>
  <c r="G94" i="1"/>
  <c r="F240" i="1"/>
  <c r="F241" i="1" l="1"/>
  <c r="G95" i="1"/>
  <c r="G245" i="1"/>
  <c r="I300" i="1"/>
  <c r="G299" i="1"/>
  <c r="M281" i="1"/>
  <c r="O281" i="1" l="1"/>
  <c r="F281" i="1"/>
  <c r="I301" i="1"/>
  <c r="G300" i="1"/>
  <c r="G246" i="1"/>
  <c r="G96" i="1"/>
  <c r="F242" i="1"/>
  <c r="F243" i="1" l="1"/>
  <c r="G97" i="1"/>
  <c r="G247" i="1"/>
  <c r="I302" i="1"/>
  <c r="G301" i="1"/>
  <c r="M282" i="1"/>
  <c r="O282" i="1" l="1"/>
  <c r="F282" i="1"/>
  <c r="I303" i="1"/>
  <c r="G302" i="1"/>
  <c r="G248" i="1"/>
  <c r="G98" i="1"/>
  <c r="F244" i="1"/>
  <c r="F245" i="1" l="1"/>
  <c r="G99" i="1"/>
  <c r="G249" i="1"/>
  <c r="I304" i="1"/>
  <c r="G303" i="1"/>
  <c r="M283" i="1"/>
  <c r="O283" i="1" l="1"/>
  <c r="F283" i="1"/>
  <c r="I305" i="1"/>
  <c r="G304" i="1"/>
  <c r="G250" i="1"/>
  <c r="G100" i="1"/>
  <c r="F246" i="1"/>
  <c r="F247" i="1" l="1"/>
  <c r="G101" i="1"/>
  <c r="G251" i="1"/>
  <c r="I306" i="1"/>
  <c r="G305" i="1"/>
  <c r="M284" i="1"/>
  <c r="O284" i="1" l="1"/>
  <c r="F284" i="1"/>
  <c r="I307" i="1"/>
  <c r="G306" i="1"/>
  <c r="G252" i="1"/>
  <c r="G102" i="1"/>
  <c r="F248" i="1"/>
  <c r="F249" i="1" l="1"/>
  <c r="G103" i="1"/>
  <c r="D40" i="1"/>
  <c r="D180" i="1"/>
  <c r="D144" i="1"/>
  <c r="D161" i="1"/>
  <c r="D127" i="1"/>
  <c r="I308" i="1"/>
  <c r="G307" i="1"/>
  <c r="M285" i="1"/>
  <c r="O285" i="1" l="1"/>
  <c r="F285" i="1"/>
  <c r="I309" i="1"/>
  <c r="G308" i="1"/>
  <c r="J180" i="1"/>
  <c r="G104" i="1"/>
  <c r="F250" i="1"/>
  <c r="J127" i="1"/>
  <c r="J144" i="1"/>
  <c r="D43" i="1"/>
  <c r="D42" i="1"/>
  <c r="D41" i="1"/>
  <c r="D44" i="1"/>
  <c r="J40" i="1"/>
  <c r="J161" i="1"/>
  <c r="J42" i="1" l="1"/>
  <c r="J44" i="1"/>
  <c r="J41" i="1"/>
  <c r="J43" i="1"/>
  <c r="F251" i="1"/>
  <c r="G105" i="1"/>
  <c r="I310" i="1"/>
  <c r="G309" i="1"/>
  <c r="M286" i="1"/>
  <c r="F252" i="1" l="1"/>
  <c r="O286" i="1"/>
  <c r="F286" i="1"/>
  <c r="I311" i="1"/>
  <c r="G310" i="1"/>
  <c r="G106" i="1"/>
  <c r="F253" i="1" l="1"/>
  <c r="G107" i="1"/>
  <c r="I312" i="1"/>
  <c r="G311" i="1"/>
  <c r="M287" i="1"/>
  <c r="O287" i="1" l="1"/>
  <c r="F287" i="1"/>
  <c r="I313" i="1"/>
  <c r="G312" i="1"/>
  <c r="I314" i="1" l="1"/>
  <c r="G313" i="1"/>
  <c r="M288" i="1"/>
  <c r="O288" i="1" l="1"/>
  <c r="F288" i="1"/>
  <c r="I315" i="1"/>
  <c r="G314" i="1"/>
  <c r="I316" i="1" l="1"/>
  <c r="G315" i="1"/>
  <c r="M289" i="1"/>
  <c r="O289" i="1" l="1"/>
  <c r="F289" i="1"/>
  <c r="I317" i="1"/>
  <c r="G316" i="1"/>
  <c r="I318" i="1" l="1"/>
  <c r="G317" i="1"/>
  <c r="M290" i="1"/>
  <c r="O290" i="1" l="1"/>
  <c r="F290" i="1"/>
  <c r="I319" i="1"/>
  <c r="G318" i="1"/>
  <c r="I320" i="1" l="1"/>
  <c r="G319" i="1"/>
  <c r="M291" i="1"/>
  <c r="O291" i="1" l="1"/>
  <c r="F291" i="1"/>
  <c r="I321" i="1"/>
  <c r="G320" i="1"/>
  <c r="I322" i="1" l="1"/>
  <c r="G321" i="1"/>
  <c r="M292" i="1"/>
  <c r="O292" i="1" l="1"/>
  <c r="F292" i="1"/>
  <c r="I323" i="1"/>
  <c r="G322" i="1"/>
  <c r="I324" i="1" l="1"/>
  <c r="G323" i="1"/>
  <c r="M293" i="1"/>
  <c r="O293" i="1" l="1"/>
  <c r="F293" i="1"/>
  <c r="I325" i="1"/>
  <c r="G324" i="1"/>
  <c r="I326" i="1" l="1"/>
  <c r="G325" i="1"/>
  <c r="M294" i="1"/>
  <c r="O294" i="1" l="1"/>
  <c r="F294" i="1"/>
  <c r="I327" i="1"/>
  <c r="G326" i="1"/>
  <c r="I328" i="1" l="1"/>
  <c r="G327" i="1"/>
  <c r="M295" i="1"/>
  <c r="O295" i="1" l="1"/>
  <c r="F295" i="1"/>
  <c r="I329" i="1"/>
  <c r="G328" i="1"/>
  <c r="I330" i="1" l="1"/>
  <c r="G329" i="1"/>
  <c r="M296" i="1"/>
  <c r="O296" i="1" l="1"/>
  <c r="F296" i="1"/>
  <c r="I331" i="1"/>
  <c r="G330" i="1"/>
  <c r="I332" i="1" l="1"/>
  <c r="G331" i="1"/>
  <c r="M297" i="1"/>
  <c r="O297" i="1" l="1"/>
  <c r="F297" i="1"/>
  <c r="I333" i="1"/>
  <c r="G332" i="1"/>
  <c r="I334" i="1" l="1"/>
  <c r="G333" i="1"/>
  <c r="M298" i="1"/>
  <c r="O298" i="1" l="1"/>
  <c r="F298" i="1"/>
  <c r="I335" i="1"/>
  <c r="G334" i="1"/>
  <c r="I336" i="1" l="1"/>
  <c r="G335" i="1"/>
  <c r="M299" i="1"/>
  <c r="O299" i="1" l="1"/>
  <c r="F299" i="1"/>
  <c r="I337" i="1"/>
  <c r="G336" i="1"/>
  <c r="I338" i="1" l="1"/>
  <c r="G337" i="1"/>
  <c r="M300" i="1"/>
  <c r="O300" i="1" l="1"/>
  <c r="F300" i="1"/>
  <c r="I339" i="1"/>
  <c r="G338" i="1"/>
  <c r="I340" i="1" l="1"/>
  <c r="G339" i="1"/>
  <c r="M301" i="1"/>
  <c r="O301" i="1" l="1"/>
  <c r="F301" i="1"/>
  <c r="I341" i="1"/>
  <c r="G340" i="1"/>
  <c r="I342" i="1" l="1"/>
  <c r="G341" i="1"/>
  <c r="M302" i="1"/>
  <c r="O302" i="1" l="1"/>
  <c r="F302" i="1"/>
  <c r="I343" i="1"/>
  <c r="G342" i="1"/>
  <c r="I344" i="1" l="1"/>
  <c r="G343" i="1"/>
  <c r="M303" i="1"/>
  <c r="O303" i="1" l="1"/>
  <c r="F303" i="1"/>
  <c r="I345" i="1"/>
  <c r="G344" i="1"/>
  <c r="I346" i="1" l="1"/>
  <c r="G345" i="1"/>
  <c r="M304" i="1"/>
  <c r="O304" i="1" l="1"/>
  <c r="F304" i="1"/>
  <c r="I347" i="1"/>
  <c r="G346" i="1"/>
  <c r="I348" i="1" l="1"/>
  <c r="G347" i="1"/>
  <c r="M305" i="1"/>
  <c r="O305" i="1" l="1"/>
  <c r="F305" i="1"/>
  <c r="I349" i="1"/>
  <c r="G348" i="1"/>
  <c r="I350" i="1" l="1"/>
  <c r="G349" i="1"/>
  <c r="M306" i="1"/>
  <c r="O306" i="1" l="1"/>
  <c r="F306" i="1"/>
  <c r="I351" i="1"/>
  <c r="G350" i="1"/>
  <c r="I352" i="1" l="1"/>
  <c r="G351" i="1"/>
  <c r="M307" i="1"/>
  <c r="O307" i="1" l="1"/>
  <c r="F307" i="1"/>
  <c r="I353" i="1"/>
  <c r="G352" i="1"/>
  <c r="I354" i="1" l="1"/>
  <c r="G353" i="1"/>
  <c r="M308" i="1"/>
  <c r="O308" i="1" l="1"/>
  <c r="F308" i="1"/>
  <c r="I355" i="1"/>
  <c r="G354" i="1"/>
  <c r="I356" i="1" l="1"/>
  <c r="G355" i="1"/>
  <c r="M309" i="1"/>
  <c r="O309" i="1" l="1"/>
  <c r="F309" i="1"/>
  <c r="I357" i="1"/>
  <c r="G356" i="1"/>
  <c r="I358" i="1" l="1"/>
  <c r="G357" i="1"/>
  <c r="M310" i="1"/>
  <c r="O310" i="1" l="1"/>
  <c r="F310" i="1"/>
  <c r="I359" i="1"/>
  <c r="G358" i="1"/>
  <c r="I360" i="1" l="1"/>
  <c r="G359" i="1"/>
  <c r="M311" i="1"/>
  <c r="O311" i="1" l="1"/>
  <c r="F311" i="1"/>
  <c r="I361" i="1"/>
  <c r="G360" i="1"/>
  <c r="I362" i="1" l="1"/>
  <c r="G361" i="1"/>
  <c r="M312" i="1"/>
  <c r="O312" i="1" l="1"/>
  <c r="F312" i="1"/>
  <c r="I363" i="1"/>
  <c r="G362" i="1"/>
  <c r="I364" i="1" l="1"/>
  <c r="G363" i="1"/>
  <c r="M313" i="1"/>
  <c r="O313" i="1" l="1"/>
  <c r="F313" i="1"/>
  <c r="I365" i="1"/>
  <c r="G364" i="1"/>
  <c r="I366" i="1" l="1"/>
  <c r="G365" i="1"/>
  <c r="M314" i="1"/>
  <c r="O314" i="1" l="1"/>
  <c r="F314" i="1"/>
  <c r="I367" i="1"/>
  <c r="G366" i="1"/>
  <c r="I368" i="1" l="1"/>
  <c r="G367" i="1"/>
  <c r="M315" i="1"/>
  <c r="O315" i="1" l="1"/>
  <c r="F315" i="1"/>
  <c r="I369" i="1"/>
  <c r="G368" i="1"/>
  <c r="I370" i="1" l="1"/>
  <c r="G369" i="1"/>
  <c r="M316" i="1"/>
  <c r="O316" i="1" l="1"/>
  <c r="F316" i="1"/>
  <c r="I371" i="1"/>
  <c r="G370" i="1"/>
  <c r="I372" i="1" l="1"/>
  <c r="G371" i="1"/>
  <c r="M317" i="1"/>
  <c r="O317" i="1" l="1"/>
  <c r="F317" i="1"/>
  <c r="I373" i="1"/>
  <c r="G372" i="1"/>
  <c r="I374" i="1" l="1"/>
  <c r="G373" i="1"/>
  <c r="M318" i="1"/>
  <c r="O318" i="1" l="1"/>
  <c r="F318" i="1"/>
  <c r="I375" i="1"/>
  <c r="G374" i="1"/>
  <c r="I376" i="1" l="1"/>
  <c r="G375" i="1"/>
  <c r="M319" i="1"/>
  <c r="O319" i="1" l="1"/>
  <c r="F319" i="1"/>
  <c r="I377" i="1"/>
  <c r="G376" i="1"/>
  <c r="I378" i="1" l="1"/>
  <c r="G377" i="1"/>
  <c r="M320" i="1"/>
  <c r="O320" i="1" l="1"/>
  <c r="F320" i="1"/>
  <c r="I379" i="1"/>
  <c r="G378" i="1"/>
  <c r="I380" i="1" l="1"/>
  <c r="G379" i="1"/>
  <c r="M321" i="1"/>
  <c r="O321" i="1" l="1"/>
  <c r="F321" i="1"/>
  <c r="I381" i="1"/>
  <c r="G380" i="1"/>
  <c r="I382" i="1" l="1"/>
  <c r="G381" i="1"/>
  <c r="M322" i="1"/>
  <c r="O322" i="1" l="1"/>
  <c r="F322" i="1"/>
  <c r="I383" i="1"/>
  <c r="G382" i="1"/>
  <c r="I384" i="1" l="1"/>
  <c r="G383" i="1"/>
  <c r="M323" i="1"/>
  <c r="O323" i="1" l="1"/>
  <c r="F323" i="1"/>
  <c r="G384" i="1"/>
  <c r="I385" i="1"/>
  <c r="G385" i="1" l="1"/>
  <c r="I386" i="1"/>
  <c r="M324" i="1"/>
  <c r="O324" i="1" l="1"/>
  <c r="F324" i="1"/>
  <c r="G386" i="1"/>
  <c r="I387" i="1"/>
  <c r="G387" i="1" l="1"/>
  <c r="I388" i="1"/>
  <c r="M325" i="1"/>
  <c r="O325" i="1" l="1"/>
  <c r="F325" i="1"/>
  <c r="G388" i="1"/>
  <c r="I389" i="1"/>
  <c r="G389" i="1" l="1"/>
  <c r="I390" i="1"/>
  <c r="M326" i="1"/>
  <c r="O326" i="1" l="1"/>
  <c r="F326" i="1"/>
  <c r="G390" i="1"/>
  <c r="I391" i="1"/>
  <c r="G391" i="1" l="1"/>
  <c r="I392" i="1"/>
  <c r="M327" i="1"/>
  <c r="O327" i="1" l="1"/>
  <c r="F327" i="1"/>
  <c r="G392" i="1"/>
  <c r="I393" i="1"/>
  <c r="G393" i="1" l="1"/>
  <c r="I394" i="1"/>
  <c r="M328" i="1"/>
  <c r="O328" i="1" l="1"/>
  <c r="F328" i="1"/>
  <c r="G394" i="1"/>
  <c r="I395" i="1"/>
  <c r="G395" i="1" l="1"/>
  <c r="I396" i="1"/>
  <c r="M329" i="1"/>
  <c r="O329" i="1" l="1"/>
  <c r="F329" i="1"/>
  <c r="G396" i="1"/>
  <c r="I397" i="1"/>
  <c r="G397" i="1" l="1"/>
  <c r="I398" i="1"/>
  <c r="M330" i="1"/>
  <c r="O330" i="1" l="1"/>
  <c r="F330" i="1"/>
  <c r="G398" i="1"/>
  <c r="I399" i="1"/>
  <c r="G399" i="1" l="1"/>
  <c r="I400" i="1"/>
  <c r="M331" i="1"/>
  <c r="O331" i="1" l="1"/>
  <c r="F331" i="1"/>
  <c r="G400" i="1"/>
  <c r="I401" i="1"/>
  <c r="G401" i="1" l="1"/>
  <c r="I402" i="1"/>
  <c r="M332" i="1"/>
  <c r="O332" i="1" l="1"/>
  <c r="F332" i="1"/>
  <c r="G402" i="1"/>
  <c r="I403" i="1"/>
  <c r="G403" i="1" l="1"/>
  <c r="I404" i="1"/>
  <c r="M333" i="1"/>
  <c r="O333" i="1" l="1"/>
  <c r="F333" i="1"/>
  <c r="G404" i="1"/>
  <c r="I405" i="1"/>
  <c r="G405" i="1" l="1"/>
  <c r="I406" i="1"/>
  <c r="M334" i="1"/>
  <c r="O334" i="1" l="1"/>
  <c r="F334" i="1"/>
  <c r="G406" i="1"/>
  <c r="I407" i="1"/>
  <c r="G407" i="1" l="1"/>
  <c r="I408" i="1"/>
  <c r="M335" i="1"/>
  <c r="O335" i="1" l="1"/>
  <c r="F335" i="1"/>
  <c r="G408" i="1"/>
  <c r="I409" i="1"/>
  <c r="G409" i="1" l="1"/>
  <c r="I410" i="1"/>
  <c r="M336" i="1"/>
  <c r="O336" i="1" l="1"/>
  <c r="F336" i="1"/>
  <c r="G410" i="1"/>
  <c r="I411" i="1"/>
  <c r="G411" i="1" l="1"/>
  <c r="I412" i="1"/>
  <c r="M337" i="1"/>
  <c r="O337" i="1" l="1"/>
  <c r="F337" i="1"/>
  <c r="G412" i="1"/>
  <c r="I413" i="1"/>
  <c r="G413" i="1" l="1"/>
  <c r="I414" i="1"/>
  <c r="M338" i="1"/>
  <c r="O338" i="1" l="1"/>
  <c r="F338" i="1"/>
  <c r="G414" i="1"/>
  <c r="I415" i="1"/>
  <c r="G415" i="1" l="1"/>
  <c r="I416" i="1"/>
  <c r="M339" i="1"/>
  <c r="O339" i="1" l="1"/>
  <c r="F339" i="1"/>
  <c r="G416" i="1"/>
  <c r="I417" i="1"/>
  <c r="G417" i="1" l="1"/>
  <c r="I418" i="1"/>
  <c r="M340" i="1"/>
  <c r="O340" i="1" l="1"/>
  <c r="F340" i="1"/>
  <c r="G418" i="1"/>
  <c r="I419" i="1"/>
  <c r="G419" i="1" l="1"/>
  <c r="I420" i="1"/>
  <c r="M341" i="1"/>
  <c r="O341" i="1" l="1"/>
  <c r="F341" i="1"/>
  <c r="G420" i="1"/>
  <c r="I421" i="1"/>
  <c r="G421" i="1" l="1"/>
  <c r="I422" i="1"/>
  <c r="M342" i="1"/>
  <c r="O342" i="1" l="1"/>
  <c r="F342" i="1"/>
  <c r="G422" i="1"/>
  <c r="I423" i="1"/>
  <c r="G423" i="1" l="1"/>
  <c r="I424" i="1"/>
  <c r="M343" i="1"/>
  <c r="O343" i="1" l="1"/>
  <c r="F343" i="1"/>
  <c r="G424" i="1"/>
  <c r="I425" i="1"/>
  <c r="G425" i="1" l="1"/>
  <c r="I426" i="1"/>
  <c r="M344" i="1"/>
  <c r="O344" i="1" l="1"/>
  <c r="F344" i="1"/>
  <c r="G426" i="1"/>
  <c r="I427" i="1"/>
  <c r="G427" i="1" l="1"/>
  <c r="I428" i="1"/>
  <c r="M345" i="1"/>
  <c r="O345" i="1" l="1"/>
  <c r="F345" i="1"/>
  <c r="G428" i="1"/>
  <c r="I429" i="1"/>
  <c r="G429" i="1" l="1"/>
  <c r="I430" i="1"/>
  <c r="M346" i="1"/>
  <c r="O346" i="1" l="1"/>
  <c r="F346" i="1"/>
  <c r="G430" i="1"/>
  <c r="I431" i="1"/>
  <c r="G431" i="1" l="1"/>
  <c r="I432" i="1"/>
  <c r="M347" i="1"/>
  <c r="O347" i="1" l="1"/>
  <c r="F347" i="1"/>
  <c r="G432" i="1"/>
  <c r="I433" i="1"/>
  <c r="G433" i="1" l="1"/>
  <c r="I434" i="1"/>
  <c r="M348" i="1"/>
  <c r="O348" i="1" l="1"/>
  <c r="F348" i="1"/>
  <c r="G434" i="1"/>
  <c r="I435" i="1"/>
  <c r="G435" i="1" l="1"/>
  <c r="I436" i="1"/>
  <c r="M349" i="1"/>
  <c r="O349" i="1" l="1"/>
  <c r="F349" i="1"/>
  <c r="G436" i="1"/>
  <c r="I437" i="1"/>
  <c r="G437" i="1" l="1"/>
  <c r="I438" i="1"/>
  <c r="M350" i="1"/>
  <c r="O350" i="1" l="1"/>
  <c r="F350" i="1"/>
  <c r="G438" i="1"/>
  <c r="I439" i="1"/>
  <c r="G439" i="1" l="1"/>
  <c r="I440" i="1"/>
  <c r="M351" i="1"/>
  <c r="O351" i="1" l="1"/>
  <c r="F351" i="1"/>
  <c r="G440" i="1"/>
  <c r="I441" i="1"/>
  <c r="G441" i="1" l="1"/>
  <c r="I442" i="1"/>
  <c r="M352" i="1"/>
  <c r="O352" i="1" l="1"/>
  <c r="F352" i="1"/>
  <c r="G442" i="1"/>
  <c r="I443" i="1"/>
  <c r="G443" i="1" l="1"/>
  <c r="I444" i="1"/>
  <c r="M353" i="1"/>
  <c r="O353" i="1" l="1"/>
  <c r="F353" i="1"/>
  <c r="G444" i="1"/>
  <c r="I445" i="1"/>
  <c r="G445" i="1" l="1"/>
  <c r="I446" i="1"/>
  <c r="M354" i="1"/>
  <c r="O354" i="1" l="1"/>
  <c r="F354" i="1"/>
  <c r="G446" i="1"/>
  <c r="I447" i="1"/>
  <c r="G447" i="1" l="1"/>
  <c r="I448" i="1"/>
  <c r="M355" i="1"/>
  <c r="O355" i="1" l="1"/>
  <c r="F355" i="1"/>
  <c r="G448" i="1"/>
  <c r="I449" i="1"/>
  <c r="G449" i="1" l="1"/>
  <c r="I450" i="1"/>
  <c r="M356" i="1"/>
  <c r="O356" i="1" l="1"/>
  <c r="F356" i="1"/>
  <c r="G450" i="1"/>
  <c r="I451" i="1"/>
  <c r="G451" i="1" l="1"/>
  <c r="I452" i="1"/>
  <c r="M357" i="1"/>
  <c r="O357" i="1" l="1"/>
  <c r="F357" i="1"/>
  <c r="G452" i="1"/>
  <c r="I453" i="1"/>
  <c r="G453" i="1" l="1"/>
  <c r="I454" i="1"/>
  <c r="M358" i="1"/>
  <c r="O358" i="1" l="1"/>
  <c r="F358" i="1"/>
  <c r="G454" i="1"/>
  <c r="I455" i="1"/>
  <c r="G455" i="1" l="1"/>
  <c r="I456" i="1"/>
  <c r="M359" i="1"/>
  <c r="O359" i="1" l="1"/>
  <c r="F359" i="1"/>
  <c r="G456" i="1"/>
  <c r="I457" i="1"/>
  <c r="G457" i="1" l="1"/>
  <c r="I458" i="1"/>
  <c r="M360" i="1"/>
  <c r="O360" i="1" l="1"/>
  <c r="F360" i="1"/>
  <c r="G458" i="1"/>
  <c r="I459" i="1"/>
  <c r="G459" i="1" l="1"/>
  <c r="I460" i="1"/>
  <c r="M361" i="1"/>
  <c r="O361" i="1" l="1"/>
  <c r="F361" i="1"/>
  <c r="G460" i="1"/>
  <c r="I461" i="1"/>
  <c r="G461" i="1" l="1"/>
  <c r="I462" i="1"/>
  <c r="M362" i="1"/>
  <c r="O362" i="1" l="1"/>
  <c r="F362" i="1"/>
  <c r="G462" i="1"/>
  <c r="I463" i="1"/>
  <c r="G463" i="1" l="1"/>
  <c r="I464" i="1"/>
  <c r="M363" i="1"/>
  <c r="O363" i="1" l="1"/>
  <c r="F363" i="1"/>
  <c r="G464" i="1"/>
  <c r="I465" i="1"/>
  <c r="G465" i="1" l="1"/>
  <c r="I466" i="1"/>
  <c r="M364" i="1"/>
  <c r="O364" i="1" l="1"/>
  <c r="F364" i="1"/>
  <c r="G466" i="1"/>
  <c r="I467" i="1"/>
  <c r="G467" i="1" l="1"/>
  <c r="I468" i="1"/>
  <c r="M365" i="1"/>
  <c r="O365" i="1" l="1"/>
  <c r="F365" i="1"/>
  <c r="G468" i="1"/>
  <c r="I469" i="1"/>
  <c r="G469" i="1" l="1"/>
  <c r="I470" i="1"/>
  <c r="M366" i="1"/>
  <c r="O366" i="1" l="1"/>
  <c r="F366" i="1"/>
  <c r="G470" i="1"/>
  <c r="I471" i="1"/>
  <c r="G471" i="1" l="1"/>
  <c r="I472" i="1"/>
  <c r="M367" i="1"/>
  <c r="O367" i="1" l="1"/>
  <c r="F367" i="1"/>
  <c r="I473" i="1"/>
  <c r="G472" i="1"/>
  <c r="I474" i="1" l="1"/>
  <c r="G473" i="1"/>
  <c r="M368" i="1"/>
  <c r="O368" i="1" l="1"/>
  <c r="F368" i="1"/>
  <c r="I475" i="1"/>
  <c r="G474" i="1"/>
  <c r="I476" i="1" l="1"/>
  <c r="G475" i="1"/>
  <c r="M369" i="1"/>
  <c r="O369" i="1" l="1"/>
  <c r="F369" i="1"/>
  <c r="I477" i="1"/>
  <c r="G476" i="1"/>
  <c r="I478" i="1" l="1"/>
  <c r="G477" i="1"/>
  <c r="M370" i="1"/>
  <c r="O370" i="1" l="1"/>
  <c r="F370" i="1"/>
  <c r="I479" i="1"/>
  <c r="G478" i="1"/>
  <c r="I480" i="1" l="1"/>
  <c r="G479" i="1"/>
  <c r="M371" i="1"/>
  <c r="O371" i="1" l="1"/>
  <c r="F371" i="1"/>
  <c r="I481" i="1"/>
  <c r="G480" i="1"/>
  <c r="I482" i="1" l="1"/>
  <c r="G481" i="1"/>
  <c r="M372" i="1"/>
  <c r="O372" i="1" l="1"/>
  <c r="F372" i="1"/>
  <c r="I483" i="1"/>
  <c r="G482" i="1"/>
  <c r="I484" i="1" l="1"/>
  <c r="G483" i="1"/>
  <c r="M373" i="1"/>
  <c r="O373" i="1" l="1"/>
  <c r="F373" i="1"/>
  <c r="I485" i="1"/>
  <c r="G484" i="1"/>
  <c r="G485" i="1" l="1"/>
  <c r="I486" i="1"/>
  <c r="M374" i="1"/>
  <c r="O374" i="1" l="1"/>
  <c r="F374" i="1"/>
  <c r="G486" i="1"/>
  <c r="I487" i="1"/>
  <c r="G487" i="1" l="1"/>
  <c r="I488" i="1"/>
  <c r="M375" i="1"/>
  <c r="O375" i="1" l="1"/>
  <c r="F375" i="1"/>
  <c r="G488" i="1"/>
  <c r="I489" i="1"/>
  <c r="G489" i="1" l="1"/>
  <c r="I490" i="1"/>
  <c r="M376" i="1"/>
  <c r="O376" i="1" l="1"/>
  <c r="F376" i="1"/>
  <c r="G490" i="1"/>
  <c r="I491" i="1"/>
  <c r="G491" i="1" l="1"/>
  <c r="I492" i="1"/>
  <c r="M377" i="1"/>
  <c r="O377" i="1" l="1"/>
  <c r="F377" i="1"/>
  <c r="G492" i="1"/>
  <c r="I493" i="1"/>
  <c r="G493" i="1" l="1"/>
  <c r="I494" i="1"/>
  <c r="M378" i="1"/>
  <c r="O378" i="1" l="1"/>
  <c r="F378" i="1"/>
  <c r="G494" i="1"/>
  <c r="I495" i="1"/>
  <c r="G495" i="1" l="1"/>
  <c r="I496" i="1"/>
  <c r="M379" i="1"/>
  <c r="O379" i="1" l="1"/>
  <c r="F379" i="1"/>
  <c r="G496" i="1"/>
  <c r="I497" i="1"/>
  <c r="G497" i="1" l="1"/>
  <c r="I498" i="1"/>
  <c r="M380" i="1"/>
  <c r="O380" i="1" l="1"/>
  <c r="F380" i="1"/>
  <c r="G498" i="1"/>
  <c r="I499" i="1"/>
  <c r="G499" i="1" l="1"/>
  <c r="I500" i="1"/>
  <c r="M381" i="1"/>
  <c r="O381" i="1" l="1"/>
  <c r="F381" i="1"/>
  <c r="G500" i="1"/>
  <c r="I501" i="1"/>
  <c r="G501" i="1" l="1"/>
  <c r="I502" i="1"/>
  <c r="M382" i="1"/>
  <c r="O382" i="1" l="1"/>
  <c r="F382" i="1"/>
  <c r="G502" i="1"/>
  <c r="I503" i="1"/>
  <c r="G503" i="1" l="1"/>
  <c r="I504" i="1"/>
  <c r="M383" i="1"/>
  <c r="O383" i="1" l="1"/>
  <c r="F383" i="1"/>
  <c r="G504" i="1"/>
  <c r="I505" i="1"/>
  <c r="G505" i="1" l="1"/>
  <c r="I506" i="1"/>
  <c r="M384" i="1"/>
  <c r="O384" i="1" l="1"/>
  <c r="F384" i="1"/>
  <c r="G506" i="1"/>
  <c r="I507" i="1"/>
  <c r="G507" i="1" l="1"/>
  <c r="I508" i="1"/>
  <c r="M385" i="1"/>
  <c r="O385" i="1" l="1"/>
  <c r="F385" i="1"/>
  <c r="G508" i="1"/>
  <c r="I509" i="1"/>
  <c r="G509" i="1" l="1"/>
  <c r="I510" i="1"/>
  <c r="M386" i="1"/>
  <c r="O386" i="1" l="1"/>
  <c r="F386" i="1"/>
  <c r="G510" i="1"/>
  <c r="I511" i="1"/>
  <c r="G511" i="1" l="1"/>
  <c r="I512" i="1"/>
  <c r="M387" i="1"/>
  <c r="O387" i="1" l="1"/>
  <c r="F387" i="1"/>
  <c r="G512" i="1"/>
  <c r="I513" i="1"/>
  <c r="G513" i="1" l="1"/>
  <c r="I514" i="1"/>
  <c r="M388" i="1"/>
  <c r="O388" i="1" l="1"/>
  <c r="F388" i="1"/>
  <c r="G514" i="1"/>
  <c r="I515" i="1"/>
  <c r="G515" i="1" l="1"/>
  <c r="I516" i="1"/>
  <c r="M389" i="1"/>
  <c r="O389" i="1" l="1"/>
  <c r="F389" i="1"/>
  <c r="G516" i="1"/>
  <c r="I517" i="1"/>
  <c r="G517" i="1" l="1"/>
  <c r="I518" i="1"/>
  <c r="M390" i="1"/>
  <c r="O390" i="1" l="1"/>
  <c r="F390" i="1"/>
  <c r="G518" i="1"/>
  <c r="I519" i="1"/>
  <c r="G519" i="1" l="1"/>
  <c r="I520" i="1"/>
  <c r="M391" i="1"/>
  <c r="O391" i="1" l="1"/>
  <c r="F391" i="1"/>
  <c r="G520" i="1"/>
  <c r="I521" i="1"/>
  <c r="G521" i="1" l="1"/>
  <c r="I522" i="1"/>
  <c r="M392" i="1"/>
  <c r="O392" i="1" l="1"/>
  <c r="F392" i="1"/>
  <c r="G522" i="1"/>
  <c r="I523" i="1"/>
  <c r="G523" i="1" l="1"/>
  <c r="I524" i="1"/>
  <c r="M393" i="1"/>
  <c r="O393" i="1" l="1"/>
  <c r="F393" i="1"/>
  <c r="G524" i="1"/>
  <c r="I525" i="1"/>
  <c r="G525" i="1" l="1"/>
  <c r="I526" i="1"/>
  <c r="M394" i="1"/>
  <c r="O394" i="1" l="1"/>
  <c r="F394" i="1"/>
  <c r="G526" i="1"/>
  <c r="I527" i="1"/>
  <c r="G527" i="1" l="1"/>
  <c r="I528" i="1"/>
  <c r="M395" i="1"/>
  <c r="O395" i="1" l="1"/>
  <c r="F395" i="1"/>
  <c r="G528" i="1"/>
  <c r="I529" i="1"/>
  <c r="G529" i="1" l="1"/>
  <c r="I530" i="1"/>
  <c r="M396" i="1"/>
  <c r="O396" i="1" l="1"/>
  <c r="F396" i="1"/>
  <c r="G530" i="1"/>
  <c r="I531" i="1"/>
  <c r="G531" i="1" l="1"/>
  <c r="I532" i="1"/>
  <c r="M397" i="1"/>
  <c r="O397" i="1" l="1"/>
  <c r="F397" i="1"/>
  <c r="G532" i="1"/>
  <c r="I533" i="1"/>
  <c r="G533" i="1" l="1"/>
  <c r="I534" i="1"/>
  <c r="M398" i="1"/>
  <c r="O398" i="1" l="1"/>
  <c r="F398" i="1"/>
  <c r="G534" i="1"/>
  <c r="I535" i="1"/>
  <c r="I536" i="1" l="1"/>
  <c r="G535" i="1"/>
  <c r="M399" i="1"/>
  <c r="O399" i="1" l="1"/>
  <c r="F399" i="1"/>
  <c r="I537" i="1"/>
  <c r="G536" i="1"/>
  <c r="I538" i="1" l="1"/>
  <c r="G537" i="1"/>
  <c r="M400" i="1"/>
  <c r="O400" i="1" l="1"/>
  <c r="F400" i="1"/>
  <c r="I539" i="1"/>
  <c r="G538" i="1"/>
  <c r="I540" i="1" l="1"/>
  <c r="G539" i="1"/>
  <c r="M401" i="1"/>
  <c r="O401" i="1" l="1"/>
  <c r="F401" i="1"/>
  <c r="I541" i="1"/>
  <c r="G540" i="1"/>
  <c r="I542" i="1" l="1"/>
  <c r="G541" i="1"/>
  <c r="M402" i="1"/>
  <c r="O402" i="1" l="1"/>
  <c r="F402" i="1"/>
  <c r="I543" i="1"/>
  <c r="G542" i="1"/>
  <c r="I544" i="1" l="1"/>
  <c r="G543" i="1"/>
  <c r="M403" i="1"/>
  <c r="O403" i="1" l="1"/>
  <c r="F403" i="1"/>
  <c r="I545" i="1"/>
  <c r="G544" i="1"/>
  <c r="I546" i="1" l="1"/>
  <c r="G545" i="1"/>
  <c r="M404" i="1"/>
  <c r="O404" i="1" l="1"/>
  <c r="F404" i="1"/>
  <c r="G546" i="1"/>
  <c r="I547" i="1"/>
  <c r="M405" i="1" l="1"/>
  <c r="G547" i="1"/>
  <c r="I548" i="1"/>
  <c r="G548" i="1" l="1"/>
  <c r="I549" i="1"/>
  <c r="O405" i="1"/>
  <c r="F405" i="1"/>
  <c r="G549" i="1" l="1"/>
  <c r="I550" i="1"/>
  <c r="M406" i="1"/>
  <c r="O406" i="1" l="1"/>
  <c r="F406" i="1"/>
  <c r="G550" i="1"/>
  <c r="I551" i="1"/>
  <c r="G551" i="1" l="1"/>
  <c r="I552" i="1"/>
  <c r="M407" i="1"/>
  <c r="O407" i="1" l="1"/>
  <c r="F407" i="1"/>
  <c r="G552" i="1"/>
  <c r="I553" i="1"/>
  <c r="G553" i="1" l="1"/>
  <c r="I554" i="1"/>
  <c r="M408" i="1"/>
  <c r="O408" i="1" l="1"/>
  <c r="F408" i="1"/>
  <c r="G554" i="1"/>
  <c r="I555" i="1"/>
  <c r="G555" i="1" l="1"/>
  <c r="I556" i="1"/>
  <c r="M409" i="1"/>
  <c r="O409" i="1" l="1"/>
  <c r="F409" i="1"/>
  <c r="G556" i="1"/>
  <c r="I557" i="1"/>
  <c r="G557" i="1" l="1"/>
  <c r="I558" i="1"/>
  <c r="M410" i="1"/>
  <c r="O410" i="1" l="1"/>
  <c r="F410" i="1"/>
  <c r="G558" i="1"/>
  <c r="I559" i="1"/>
  <c r="G559" i="1" l="1"/>
  <c r="I560" i="1"/>
  <c r="M411" i="1"/>
  <c r="O411" i="1" l="1"/>
  <c r="F411" i="1"/>
  <c r="G560" i="1"/>
  <c r="I561" i="1"/>
  <c r="G561" i="1" l="1"/>
  <c r="I562" i="1"/>
  <c r="M412" i="1"/>
  <c r="O412" i="1" l="1"/>
  <c r="F412" i="1"/>
  <c r="G562" i="1"/>
  <c r="I563" i="1"/>
  <c r="G563" i="1" l="1"/>
  <c r="I564" i="1"/>
  <c r="M413" i="1"/>
  <c r="O413" i="1" l="1"/>
  <c r="F413" i="1"/>
  <c r="G564" i="1"/>
  <c r="I565" i="1"/>
  <c r="G565" i="1" l="1"/>
  <c r="I566" i="1"/>
  <c r="M414" i="1"/>
  <c r="O414" i="1" l="1"/>
  <c r="F414" i="1"/>
  <c r="G566" i="1"/>
  <c r="I567" i="1"/>
  <c r="G567" i="1" l="1"/>
  <c r="I568" i="1"/>
  <c r="M415" i="1"/>
  <c r="O415" i="1" l="1"/>
  <c r="F415" i="1"/>
  <c r="G568" i="1"/>
  <c r="I569" i="1"/>
  <c r="G569" i="1" l="1"/>
  <c r="I570" i="1"/>
  <c r="M416" i="1"/>
  <c r="O416" i="1" l="1"/>
  <c r="F416" i="1"/>
  <c r="G570" i="1"/>
  <c r="I571" i="1"/>
  <c r="G571" i="1" l="1"/>
  <c r="I572" i="1"/>
  <c r="M417" i="1"/>
  <c r="O417" i="1" l="1"/>
  <c r="F417" i="1"/>
  <c r="G572" i="1"/>
  <c r="I573" i="1"/>
  <c r="G573" i="1" l="1"/>
  <c r="I574" i="1"/>
  <c r="M418" i="1"/>
  <c r="O418" i="1" l="1"/>
  <c r="F418" i="1"/>
  <c r="G574" i="1"/>
  <c r="I575" i="1"/>
  <c r="G575" i="1" l="1"/>
  <c r="I576" i="1"/>
  <c r="M419" i="1"/>
  <c r="O419" i="1" l="1"/>
  <c r="F419" i="1"/>
  <c r="G576" i="1"/>
  <c r="I577" i="1"/>
  <c r="G577" i="1" l="1"/>
  <c r="I578" i="1"/>
  <c r="M420" i="1"/>
  <c r="O420" i="1" l="1"/>
  <c r="F420" i="1"/>
  <c r="G578" i="1"/>
  <c r="I579" i="1"/>
  <c r="I580" i="1" l="1"/>
  <c r="G579" i="1"/>
  <c r="M421" i="1"/>
  <c r="O421" i="1" l="1"/>
  <c r="F421" i="1"/>
  <c r="I581" i="1"/>
  <c r="G580" i="1"/>
  <c r="I582" i="1" l="1"/>
  <c r="G581" i="1"/>
  <c r="M422" i="1"/>
  <c r="O422" i="1" l="1"/>
  <c r="F422" i="1"/>
  <c r="I583" i="1"/>
  <c r="G582" i="1"/>
  <c r="I584" i="1" l="1"/>
  <c r="G583" i="1"/>
  <c r="M423" i="1"/>
  <c r="O423" i="1" l="1"/>
  <c r="F423" i="1"/>
  <c r="I585" i="1"/>
  <c r="G584" i="1"/>
  <c r="I586" i="1" l="1"/>
  <c r="G585" i="1"/>
  <c r="M424" i="1"/>
  <c r="O424" i="1" l="1"/>
  <c r="F424" i="1"/>
  <c r="I587" i="1"/>
  <c r="G586" i="1"/>
  <c r="I588" i="1" l="1"/>
  <c r="G587" i="1"/>
  <c r="M425" i="1"/>
  <c r="O425" i="1" l="1"/>
  <c r="F425" i="1"/>
  <c r="I589" i="1"/>
  <c r="G588" i="1"/>
  <c r="I590" i="1" l="1"/>
  <c r="G589" i="1"/>
  <c r="M426" i="1"/>
  <c r="O426" i="1" l="1"/>
  <c r="F426" i="1"/>
  <c r="I591" i="1"/>
  <c r="G590" i="1"/>
  <c r="I592" i="1" l="1"/>
  <c r="G591" i="1"/>
  <c r="M427" i="1"/>
  <c r="O427" i="1" l="1"/>
  <c r="F427" i="1"/>
  <c r="I593" i="1"/>
  <c r="G592" i="1"/>
  <c r="I594" i="1" l="1"/>
  <c r="G593" i="1"/>
  <c r="M428" i="1"/>
  <c r="O428" i="1" l="1"/>
  <c r="F428" i="1"/>
  <c r="I595" i="1"/>
  <c r="G594" i="1"/>
  <c r="I596" i="1" l="1"/>
  <c r="G595" i="1"/>
  <c r="M429" i="1"/>
  <c r="O429" i="1" l="1"/>
  <c r="F429" i="1"/>
  <c r="I597" i="1"/>
  <c r="G596" i="1"/>
  <c r="I598" i="1" l="1"/>
  <c r="G597" i="1"/>
  <c r="M430" i="1"/>
  <c r="O430" i="1" l="1"/>
  <c r="F430" i="1"/>
  <c r="I599" i="1"/>
  <c r="G598" i="1"/>
  <c r="I600" i="1" l="1"/>
  <c r="G599" i="1"/>
  <c r="M431" i="1"/>
  <c r="O431" i="1" l="1"/>
  <c r="F431" i="1"/>
  <c r="I601" i="1"/>
  <c r="G600" i="1"/>
  <c r="I602" i="1" l="1"/>
  <c r="G601" i="1"/>
  <c r="M432" i="1"/>
  <c r="O432" i="1" l="1"/>
  <c r="F432" i="1"/>
  <c r="I603" i="1"/>
  <c r="G602" i="1"/>
  <c r="I604" i="1" l="1"/>
  <c r="G603" i="1"/>
  <c r="M433" i="1"/>
  <c r="O433" i="1" l="1"/>
  <c r="F433" i="1"/>
  <c r="I605" i="1"/>
  <c r="G604" i="1"/>
  <c r="I606" i="1" l="1"/>
  <c r="G605" i="1"/>
  <c r="M434" i="1"/>
  <c r="O434" i="1" l="1"/>
  <c r="F434" i="1"/>
  <c r="I607" i="1"/>
  <c r="G606" i="1"/>
  <c r="I608" i="1" l="1"/>
  <c r="G607" i="1"/>
  <c r="M435" i="1"/>
  <c r="O435" i="1" l="1"/>
  <c r="F435" i="1"/>
  <c r="I609" i="1"/>
  <c r="G608" i="1"/>
  <c r="I610" i="1" l="1"/>
  <c r="G609" i="1"/>
  <c r="M436" i="1"/>
  <c r="O436" i="1" l="1"/>
  <c r="F436" i="1"/>
  <c r="I611" i="1"/>
  <c r="G610" i="1"/>
  <c r="I612" i="1" l="1"/>
  <c r="G611" i="1"/>
  <c r="M437" i="1"/>
  <c r="O437" i="1" l="1"/>
  <c r="F437" i="1"/>
  <c r="I613" i="1"/>
  <c r="G612" i="1"/>
  <c r="I614" i="1" l="1"/>
  <c r="G613" i="1"/>
  <c r="M438" i="1"/>
  <c r="O438" i="1" l="1"/>
  <c r="F438" i="1"/>
  <c r="I615" i="1"/>
  <c r="G614" i="1"/>
  <c r="I616" i="1" l="1"/>
  <c r="G615" i="1"/>
  <c r="M439" i="1"/>
  <c r="O439" i="1" l="1"/>
  <c r="F439" i="1"/>
  <c r="I617" i="1"/>
  <c r="G616" i="1"/>
  <c r="I618" i="1" l="1"/>
  <c r="G617" i="1"/>
  <c r="M440" i="1"/>
  <c r="O440" i="1" l="1"/>
  <c r="F440" i="1"/>
  <c r="I619" i="1"/>
  <c r="G618" i="1"/>
  <c r="I620" i="1" l="1"/>
  <c r="G619" i="1"/>
  <c r="M441" i="1"/>
  <c r="O441" i="1" l="1"/>
  <c r="F441" i="1"/>
  <c r="I621" i="1"/>
  <c r="G620" i="1"/>
  <c r="I622" i="1" l="1"/>
  <c r="G621" i="1"/>
  <c r="M442" i="1"/>
  <c r="O442" i="1" l="1"/>
  <c r="F442" i="1"/>
  <c r="I623" i="1"/>
  <c r="G622" i="1"/>
  <c r="I624" i="1" l="1"/>
  <c r="G623" i="1"/>
  <c r="M443" i="1"/>
  <c r="O443" i="1" l="1"/>
  <c r="F443" i="1"/>
  <c r="I625" i="1"/>
  <c r="G624" i="1"/>
  <c r="I626" i="1" l="1"/>
  <c r="G625" i="1"/>
  <c r="M444" i="1"/>
  <c r="O444" i="1" l="1"/>
  <c r="F444" i="1"/>
  <c r="I627" i="1"/>
  <c r="G626" i="1"/>
  <c r="I628" i="1" l="1"/>
  <c r="G627" i="1"/>
  <c r="M445" i="1"/>
  <c r="O445" i="1" l="1"/>
  <c r="F445" i="1"/>
  <c r="I629" i="1"/>
  <c r="G628" i="1"/>
  <c r="I630" i="1" l="1"/>
  <c r="G629" i="1"/>
  <c r="M446" i="1"/>
  <c r="O446" i="1" l="1"/>
  <c r="F446" i="1"/>
  <c r="I631" i="1"/>
  <c r="G631" i="1" s="1"/>
  <c r="G630" i="1"/>
  <c r="M447" i="1" l="1"/>
  <c r="O447" i="1" l="1"/>
  <c r="F447" i="1"/>
  <c r="M448" i="1" l="1"/>
  <c r="O448" i="1" l="1"/>
  <c r="F448" i="1"/>
  <c r="M449" i="1" l="1"/>
  <c r="O449" i="1" l="1"/>
  <c r="F449" i="1"/>
  <c r="M450" i="1" l="1"/>
  <c r="O450" i="1" l="1"/>
  <c r="M451" i="1" s="1"/>
  <c r="F450" i="1"/>
  <c r="O451" i="1" l="1"/>
  <c r="M452" i="1" s="1"/>
  <c r="F451" i="1"/>
  <c r="O452" i="1" l="1"/>
  <c r="M453" i="1" s="1"/>
  <c r="F452" i="1"/>
  <c r="O453" i="1" l="1"/>
  <c r="M454" i="1" s="1"/>
  <c r="F453" i="1"/>
  <c r="O454" i="1" l="1"/>
  <c r="M455" i="1" s="1"/>
  <c r="F454" i="1"/>
  <c r="O455" i="1" l="1"/>
  <c r="M456" i="1" s="1"/>
  <c r="F455" i="1"/>
  <c r="O456" i="1" l="1"/>
  <c r="M457" i="1" s="1"/>
  <c r="F456" i="1"/>
  <c r="O457" i="1" l="1"/>
  <c r="M458" i="1" s="1"/>
  <c r="F457" i="1"/>
  <c r="O458" i="1" l="1"/>
  <c r="M459" i="1" s="1"/>
  <c r="F458" i="1"/>
  <c r="O459" i="1" l="1"/>
  <c r="M460" i="1" s="1"/>
  <c r="F459" i="1"/>
  <c r="O460" i="1" l="1"/>
  <c r="M461" i="1" s="1"/>
  <c r="F460" i="1"/>
  <c r="O461" i="1" l="1"/>
  <c r="M462" i="1" s="1"/>
  <c r="F461" i="1"/>
  <c r="O462" i="1" l="1"/>
  <c r="M463" i="1" s="1"/>
  <c r="F462" i="1"/>
  <c r="O463" i="1" l="1"/>
  <c r="M464" i="1" s="1"/>
  <c r="F463" i="1"/>
  <c r="O464" i="1" l="1"/>
  <c r="M465" i="1" s="1"/>
  <c r="F464" i="1"/>
  <c r="O465" i="1" l="1"/>
  <c r="M466" i="1" s="1"/>
  <c r="F465" i="1"/>
  <c r="O466" i="1" l="1"/>
  <c r="M467" i="1" s="1"/>
  <c r="F466" i="1"/>
  <c r="O467" i="1" l="1"/>
  <c r="M468" i="1" s="1"/>
  <c r="F467" i="1"/>
  <c r="O468" i="1" l="1"/>
  <c r="M469" i="1" s="1"/>
  <c r="F468" i="1"/>
  <c r="O469" i="1" l="1"/>
  <c r="M470" i="1" s="1"/>
  <c r="F469" i="1"/>
  <c r="O470" i="1" l="1"/>
  <c r="M471" i="1" s="1"/>
  <c r="F470" i="1"/>
  <c r="O471" i="1" l="1"/>
  <c r="M472" i="1" s="1"/>
  <c r="F471" i="1"/>
  <c r="O472" i="1" l="1"/>
  <c r="M473" i="1" s="1"/>
  <c r="F472" i="1"/>
  <c r="O473" i="1" l="1"/>
  <c r="M474" i="1" s="1"/>
  <c r="F473" i="1"/>
  <c r="O474" i="1" l="1"/>
  <c r="M475" i="1" s="1"/>
  <c r="F474" i="1"/>
  <c r="O475" i="1" l="1"/>
  <c r="M476" i="1" s="1"/>
  <c r="F475" i="1"/>
  <c r="O476" i="1" l="1"/>
  <c r="M477" i="1" s="1"/>
  <c r="F476" i="1"/>
  <c r="O477" i="1" l="1"/>
  <c r="M478" i="1" s="1"/>
  <c r="F477" i="1"/>
  <c r="O478" i="1" l="1"/>
  <c r="M479" i="1" s="1"/>
  <c r="F478" i="1"/>
  <c r="O479" i="1" l="1"/>
  <c r="M480" i="1" s="1"/>
  <c r="F479" i="1"/>
  <c r="O480" i="1" l="1"/>
  <c r="M481" i="1" s="1"/>
  <c r="F480" i="1"/>
  <c r="O481" i="1" l="1"/>
  <c r="M482" i="1" s="1"/>
  <c r="F481" i="1"/>
  <c r="O482" i="1" l="1"/>
  <c r="M483" i="1" s="1"/>
  <c r="F482" i="1"/>
  <c r="O483" i="1" l="1"/>
  <c r="M484" i="1" s="1"/>
  <c r="F483" i="1"/>
  <c r="O484" i="1" l="1"/>
  <c r="M485" i="1" s="1"/>
  <c r="F484" i="1"/>
  <c r="O485" i="1" l="1"/>
  <c r="M486" i="1" s="1"/>
  <c r="F485" i="1"/>
  <c r="O486" i="1" l="1"/>
  <c r="M487" i="1" s="1"/>
  <c r="F486" i="1"/>
  <c r="O487" i="1" l="1"/>
  <c r="M488" i="1" s="1"/>
  <c r="F487" i="1"/>
  <c r="O488" i="1" l="1"/>
  <c r="M489" i="1" s="1"/>
  <c r="F488" i="1"/>
  <c r="O489" i="1" l="1"/>
  <c r="M490" i="1" s="1"/>
  <c r="F489" i="1"/>
  <c r="O490" i="1" l="1"/>
  <c r="M491" i="1" s="1"/>
  <c r="F490" i="1"/>
  <c r="O491" i="1" l="1"/>
  <c r="M492" i="1" s="1"/>
  <c r="F491" i="1"/>
  <c r="O492" i="1" l="1"/>
  <c r="M493" i="1" s="1"/>
  <c r="F492" i="1"/>
  <c r="O493" i="1" l="1"/>
  <c r="M494" i="1" s="1"/>
  <c r="F493" i="1"/>
  <c r="O494" i="1" l="1"/>
  <c r="M495" i="1" s="1"/>
  <c r="F494" i="1"/>
  <c r="O495" i="1" l="1"/>
  <c r="M496" i="1" s="1"/>
  <c r="F495" i="1"/>
  <c r="O496" i="1" l="1"/>
  <c r="M497" i="1" s="1"/>
  <c r="F496" i="1"/>
  <c r="O497" i="1" l="1"/>
  <c r="M498" i="1" s="1"/>
  <c r="F497" i="1"/>
  <c r="O498" i="1" l="1"/>
  <c r="M499" i="1" s="1"/>
  <c r="F498" i="1"/>
  <c r="O499" i="1" l="1"/>
  <c r="M500" i="1" s="1"/>
  <c r="F499" i="1"/>
  <c r="O500" i="1" l="1"/>
  <c r="M501" i="1" s="1"/>
  <c r="F500" i="1"/>
  <c r="O501" i="1" l="1"/>
  <c r="M502" i="1" s="1"/>
  <c r="F501" i="1"/>
  <c r="O502" i="1" l="1"/>
  <c r="M503" i="1" s="1"/>
  <c r="F502" i="1"/>
  <c r="O503" i="1" l="1"/>
  <c r="M504" i="1" s="1"/>
  <c r="F503" i="1"/>
  <c r="O504" i="1" l="1"/>
  <c r="M505" i="1" s="1"/>
  <c r="F504" i="1"/>
  <c r="O505" i="1" l="1"/>
  <c r="M506" i="1" s="1"/>
  <c r="F505" i="1"/>
  <c r="O506" i="1" l="1"/>
  <c r="M507" i="1" s="1"/>
  <c r="F506" i="1"/>
  <c r="O507" i="1" l="1"/>
  <c r="M508" i="1" s="1"/>
  <c r="F507" i="1"/>
  <c r="O508" i="1" l="1"/>
  <c r="M509" i="1" s="1"/>
  <c r="F508" i="1"/>
  <c r="O509" i="1" l="1"/>
  <c r="M510" i="1" s="1"/>
  <c r="F509" i="1"/>
  <c r="O510" i="1" l="1"/>
  <c r="M511" i="1" s="1"/>
  <c r="F510" i="1"/>
  <c r="O511" i="1" l="1"/>
  <c r="M512" i="1" s="1"/>
  <c r="F511" i="1"/>
  <c r="O512" i="1" l="1"/>
  <c r="M513" i="1" s="1"/>
  <c r="F512" i="1"/>
  <c r="O513" i="1" l="1"/>
  <c r="M514" i="1" s="1"/>
  <c r="F513" i="1"/>
  <c r="O514" i="1" l="1"/>
  <c r="M515" i="1" s="1"/>
  <c r="F514" i="1"/>
  <c r="O515" i="1" l="1"/>
  <c r="M516" i="1" s="1"/>
  <c r="F515" i="1"/>
  <c r="O516" i="1" l="1"/>
  <c r="M517" i="1" s="1"/>
  <c r="F516" i="1"/>
  <c r="O517" i="1" l="1"/>
  <c r="M518" i="1" s="1"/>
  <c r="F517" i="1"/>
  <c r="O518" i="1" l="1"/>
  <c r="M519" i="1" s="1"/>
  <c r="F518" i="1"/>
  <c r="O519" i="1" l="1"/>
  <c r="M520" i="1" s="1"/>
  <c r="F519" i="1"/>
  <c r="O520" i="1" l="1"/>
  <c r="M521" i="1" s="1"/>
  <c r="F520" i="1"/>
  <c r="O521" i="1" l="1"/>
  <c r="M522" i="1" s="1"/>
  <c r="F521" i="1"/>
  <c r="O522" i="1" l="1"/>
  <c r="M523" i="1" s="1"/>
  <c r="F522" i="1"/>
  <c r="O523" i="1" l="1"/>
  <c r="M524" i="1" s="1"/>
  <c r="F523" i="1"/>
  <c r="O524" i="1" l="1"/>
  <c r="M525" i="1" s="1"/>
  <c r="F524" i="1"/>
  <c r="O525" i="1" l="1"/>
  <c r="M526" i="1" s="1"/>
  <c r="F525" i="1"/>
  <c r="O526" i="1" l="1"/>
  <c r="M527" i="1" s="1"/>
  <c r="F526" i="1"/>
  <c r="O527" i="1" l="1"/>
  <c r="M528" i="1" s="1"/>
  <c r="F527" i="1"/>
  <c r="O528" i="1" l="1"/>
  <c r="M529" i="1" s="1"/>
  <c r="F528" i="1"/>
  <c r="O529" i="1" l="1"/>
  <c r="M530" i="1" s="1"/>
  <c r="F529" i="1"/>
  <c r="O530" i="1" l="1"/>
  <c r="M531" i="1" s="1"/>
  <c r="F530" i="1"/>
  <c r="O531" i="1" l="1"/>
  <c r="M532" i="1" s="1"/>
  <c r="F531" i="1"/>
  <c r="O532" i="1" l="1"/>
  <c r="M533" i="1" s="1"/>
  <c r="F532" i="1"/>
  <c r="O533" i="1" l="1"/>
  <c r="M534" i="1" s="1"/>
  <c r="F533" i="1"/>
  <c r="O534" i="1" l="1"/>
  <c r="M535" i="1" s="1"/>
  <c r="F534" i="1"/>
  <c r="O535" i="1" l="1"/>
  <c r="M536" i="1" s="1"/>
  <c r="F535" i="1"/>
  <c r="O536" i="1" l="1"/>
  <c r="M537" i="1" s="1"/>
  <c r="F536" i="1"/>
  <c r="O537" i="1" l="1"/>
  <c r="M538" i="1" s="1"/>
  <c r="F537" i="1"/>
  <c r="O538" i="1" l="1"/>
  <c r="M539" i="1" s="1"/>
  <c r="F538" i="1"/>
  <c r="O539" i="1" l="1"/>
  <c r="M540" i="1" s="1"/>
  <c r="F539" i="1"/>
  <c r="O540" i="1" l="1"/>
  <c r="M541" i="1" s="1"/>
  <c r="F540" i="1"/>
  <c r="O541" i="1" l="1"/>
  <c r="M542" i="1" s="1"/>
  <c r="F541" i="1"/>
  <c r="O542" i="1" l="1"/>
  <c r="M543" i="1" s="1"/>
  <c r="F542" i="1"/>
  <c r="O543" i="1" l="1"/>
  <c r="M544" i="1" s="1"/>
  <c r="F543" i="1"/>
  <c r="O544" i="1" l="1"/>
  <c r="M545" i="1" s="1"/>
  <c r="F544" i="1"/>
  <c r="O545" i="1" l="1"/>
  <c r="M546" i="1" s="1"/>
  <c r="F545" i="1"/>
  <c r="O546" i="1" l="1"/>
  <c r="M547" i="1" s="1"/>
  <c r="F546" i="1"/>
  <c r="O547" i="1" l="1"/>
  <c r="M548" i="1" s="1"/>
  <c r="F547" i="1"/>
  <c r="O548" i="1" l="1"/>
  <c r="M549" i="1" s="1"/>
  <c r="F548" i="1"/>
  <c r="O549" i="1" l="1"/>
  <c r="M550" i="1" s="1"/>
  <c r="F549" i="1"/>
  <c r="O550" i="1" l="1"/>
  <c r="M551" i="1" s="1"/>
  <c r="F550" i="1"/>
  <c r="O551" i="1" l="1"/>
  <c r="M552" i="1" s="1"/>
  <c r="F551" i="1"/>
  <c r="O552" i="1" l="1"/>
  <c r="M553" i="1" s="1"/>
  <c r="F552" i="1"/>
  <c r="O553" i="1" l="1"/>
  <c r="M554" i="1" s="1"/>
  <c r="F553" i="1"/>
  <c r="O554" i="1" l="1"/>
  <c r="M555" i="1" s="1"/>
  <c r="F554" i="1"/>
  <c r="O555" i="1" l="1"/>
  <c r="M556" i="1" s="1"/>
  <c r="F555" i="1"/>
  <c r="O556" i="1" l="1"/>
  <c r="M557" i="1" s="1"/>
  <c r="F556" i="1"/>
  <c r="O557" i="1" l="1"/>
  <c r="M558" i="1" s="1"/>
  <c r="F557" i="1"/>
  <c r="O558" i="1" l="1"/>
  <c r="M559" i="1" s="1"/>
  <c r="F558" i="1"/>
  <c r="O559" i="1" l="1"/>
  <c r="M560" i="1" s="1"/>
  <c r="F559" i="1"/>
  <c r="O560" i="1" l="1"/>
  <c r="M561" i="1" s="1"/>
  <c r="F560" i="1"/>
  <c r="O561" i="1" l="1"/>
  <c r="M562" i="1" s="1"/>
  <c r="F561" i="1"/>
  <c r="O562" i="1" l="1"/>
  <c r="M563" i="1" s="1"/>
  <c r="F562" i="1"/>
  <c r="O563" i="1" l="1"/>
  <c r="M564" i="1" s="1"/>
  <c r="F563" i="1"/>
  <c r="O564" i="1" l="1"/>
  <c r="M565" i="1" s="1"/>
  <c r="F564" i="1"/>
  <c r="O565" i="1" l="1"/>
  <c r="M566" i="1" s="1"/>
  <c r="F565" i="1"/>
  <c r="O566" i="1" l="1"/>
  <c r="M567" i="1" s="1"/>
  <c r="F566" i="1"/>
  <c r="O567" i="1" l="1"/>
  <c r="M568" i="1" s="1"/>
  <c r="F567" i="1"/>
  <c r="O568" i="1" l="1"/>
  <c r="M569" i="1" s="1"/>
  <c r="F568" i="1"/>
  <c r="O569" i="1" l="1"/>
  <c r="M570" i="1" s="1"/>
  <c r="F569" i="1"/>
  <c r="O570" i="1" l="1"/>
  <c r="M571" i="1" s="1"/>
  <c r="F570" i="1"/>
  <c r="O571" i="1" l="1"/>
  <c r="M572" i="1" s="1"/>
  <c r="F571" i="1"/>
  <c r="O572" i="1" l="1"/>
  <c r="M573" i="1" s="1"/>
  <c r="F572" i="1"/>
  <c r="O573" i="1" l="1"/>
  <c r="M574" i="1" s="1"/>
  <c r="F573" i="1"/>
  <c r="O574" i="1" l="1"/>
  <c r="M575" i="1" s="1"/>
  <c r="F574" i="1"/>
  <c r="O575" i="1" l="1"/>
  <c r="M576" i="1" s="1"/>
  <c r="F575" i="1"/>
  <c r="O576" i="1" l="1"/>
  <c r="M577" i="1" s="1"/>
  <c r="F576" i="1"/>
  <c r="O577" i="1" l="1"/>
  <c r="M578" i="1" s="1"/>
  <c r="F577" i="1"/>
  <c r="O578" i="1" l="1"/>
  <c r="M579" i="1" s="1"/>
  <c r="F578" i="1"/>
  <c r="O579" i="1" l="1"/>
  <c r="M580" i="1" s="1"/>
  <c r="F579" i="1"/>
  <c r="O580" i="1" l="1"/>
  <c r="M581" i="1" s="1"/>
  <c r="F580" i="1"/>
  <c r="O581" i="1" l="1"/>
  <c r="M582" i="1" s="1"/>
  <c r="F581" i="1"/>
  <c r="O582" i="1" l="1"/>
  <c r="M583" i="1" s="1"/>
  <c r="F582" i="1"/>
  <c r="O583" i="1" l="1"/>
  <c r="M584" i="1" s="1"/>
  <c r="F583" i="1"/>
  <c r="O584" i="1" l="1"/>
  <c r="M585" i="1" s="1"/>
  <c r="F584" i="1"/>
  <c r="O585" i="1" l="1"/>
  <c r="M586" i="1" s="1"/>
  <c r="F585" i="1"/>
  <c r="O586" i="1" l="1"/>
  <c r="M587" i="1" s="1"/>
  <c r="F586" i="1"/>
  <c r="O587" i="1" l="1"/>
  <c r="M588" i="1" s="1"/>
  <c r="F587" i="1"/>
  <c r="O588" i="1" l="1"/>
  <c r="M589" i="1" s="1"/>
  <c r="F588" i="1"/>
  <c r="O589" i="1" l="1"/>
  <c r="M590" i="1" s="1"/>
  <c r="F589" i="1"/>
  <c r="O590" i="1" l="1"/>
  <c r="M591" i="1" s="1"/>
  <c r="F590" i="1"/>
  <c r="O591" i="1" l="1"/>
  <c r="M592" i="1" s="1"/>
  <c r="F591" i="1"/>
  <c r="O592" i="1" l="1"/>
  <c r="M593" i="1" s="1"/>
  <c r="F592" i="1"/>
  <c r="O593" i="1" l="1"/>
  <c r="M594" i="1" s="1"/>
  <c r="F593" i="1"/>
  <c r="O594" i="1" l="1"/>
  <c r="M595" i="1" s="1"/>
  <c r="F594" i="1"/>
  <c r="O595" i="1" l="1"/>
  <c r="M596" i="1" s="1"/>
  <c r="F595" i="1"/>
  <c r="O596" i="1" l="1"/>
  <c r="M597" i="1" s="1"/>
  <c r="F596" i="1"/>
  <c r="O597" i="1" l="1"/>
  <c r="M598" i="1" s="1"/>
  <c r="F597" i="1"/>
  <c r="O598" i="1" l="1"/>
  <c r="M599" i="1" s="1"/>
  <c r="F598" i="1"/>
  <c r="O599" i="1" l="1"/>
  <c r="M600" i="1" s="1"/>
  <c r="F599" i="1"/>
  <c r="O600" i="1" l="1"/>
  <c r="M601" i="1" s="1"/>
  <c r="F600" i="1"/>
  <c r="O601" i="1" l="1"/>
  <c r="M602" i="1" s="1"/>
  <c r="F601" i="1"/>
  <c r="O602" i="1" l="1"/>
  <c r="M603" i="1" s="1"/>
  <c r="F602" i="1"/>
  <c r="O603" i="1" l="1"/>
  <c r="M604" i="1" s="1"/>
  <c r="F603" i="1"/>
  <c r="O604" i="1" l="1"/>
  <c r="M605" i="1" s="1"/>
  <c r="F604" i="1"/>
  <c r="O605" i="1" l="1"/>
  <c r="M606" i="1" s="1"/>
  <c r="F605" i="1"/>
  <c r="O606" i="1" l="1"/>
  <c r="M607" i="1" s="1"/>
  <c r="F606" i="1"/>
  <c r="O607" i="1" l="1"/>
  <c r="M608" i="1" s="1"/>
  <c r="F607" i="1"/>
  <c r="O608" i="1" l="1"/>
  <c r="M609" i="1" s="1"/>
  <c r="F608" i="1"/>
  <c r="O609" i="1" l="1"/>
  <c r="M610" i="1" s="1"/>
  <c r="F609" i="1"/>
  <c r="O610" i="1" l="1"/>
  <c r="M611" i="1" s="1"/>
  <c r="F610" i="1"/>
  <c r="O611" i="1" l="1"/>
  <c r="M612" i="1" s="1"/>
  <c r="F611" i="1"/>
  <c r="O612" i="1" l="1"/>
  <c r="M613" i="1" s="1"/>
  <c r="F612" i="1"/>
  <c r="O613" i="1" l="1"/>
  <c r="M614" i="1" s="1"/>
  <c r="F613" i="1"/>
  <c r="O614" i="1" l="1"/>
  <c r="M615" i="1" s="1"/>
  <c r="F614" i="1"/>
  <c r="O615" i="1" l="1"/>
  <c r="M616" i="1" s="1"/>
  <c r="F615" i="1"/>
  <c r="O616" i="1" l="1"/>
  <c r="M617" i="1" s="1"/>
  <c r="F616" i="1"/>
  <c r="O617" i="1" l="1"/>
  <c r="M618" i="1" s="1"/>
  <c r="F617" i="1"/>
  <c r="O618" i="1" l="1"/>
  <c r="M619" i="1" s="1"/>
  <c r="F618" i="1"/>
  <c r="O619" i="1" l="1"/>
  <c r="M620" i="1" s="1"/>
  <c r="F619" i="1"/>
  <c r="O620" i="1" l="1"/>
  <c r="M621" i="1" s="1"/>
  <c r="F620" i="1"/>
  <c r="O621" i="1" l="1"/>
  <c r="M622" i="1" s="1"/>
  <c r="F621" i="1"/>
  <c r="O622" i="1" l="1"/>
  <c r="M623" i="1" s="1"/>
  <c r="F622" i="1"/>
  <c r="O623" i="1" l="1"/>
  <c r="M624" i="1" s="1"/>
  <c r="F623" i="1"/>
  <c r="O624" i="1" l="1"/>
  <c r="M625" i="1" s="1"/>
  <c r="F624" i="1"/>
  <c r="O625" i="1" l="1"/>
  <c r="M626" i="1" s="1"/>
  <c r="F625" i="1"/>
  <c r="O626" i="1" l="1"/>
  <c r="M627" i="1" s="1"/>
  <c r="F626" i="1"/>
  <c r="O627" i="1" l="1"/>
  <c r="M628" i="1" s="1"/>
  <c r="F627" i="1"/>
  <c r="O628" i="1" l="1"/>
  <c r="M629" i="1" s="1"/>
  <c r="F628" i="1"/>
  <c r="O629" i="1" l="1"/>
  <c r="M630" i="1" s="1"/>
  <c r="F629" i="1"/>
  <c r="O630" i="1" l="1"/>
  <c r="M631" i="1" s="1"/>
  <c r="F630" i="1"/>
  <c r="O631" i="1" l="1"/>
  <c r="O633" i="1" s="1"/>
  <c r="I257" i="1" s="1"/>
  <c r="F631" i="1"/>
  <c r="M633" i="1"/>
  <c r="E107" i="1" l="1"/>
  <c r="E223" i="1"/>
  <c r="E87" i="1"/>
  <c r="G267" i="1"/>
  <c r="E95" i="1"/>
  <c r="E83" i="1"/>
  <c r="E79" i="1"/>
  <c r="E91" i="1"/>
  <c r="E101" i="1"/>
  <c r="E96" i="1"/>
  <c r="E105" i="1"/>
  <c r="E106" i="1"/>
  <c r="E77" i="1"/>
  <c r="E86" i="1"/>
  <c r="E88" i="1"/>
  <c r="E103" i="1"/>
  <c r="E98" i="1"/>
  <c r="M224" i="1"/>
  <c r="E100" i="1"/>
  <c r="E78" i="1"/>
  <c r="M223" i="1"/>
  <c r="E225" i="1"/>
  <c r="E80" i="1"/>
  <c r="E85" i="1"/>
  <c r="E90" i="1"/>
  <c r="E99" i="1"/>
  <c r="E92" i="1"/>
  <c r="E97" i="1"/>
  <c r="E89" i="1"/>
  <c r="E104" i="1"/>
  <c r="E82" i="1"/>
  <c r="E81" i="1"/>
  <c r="E84" i="1"/>
  <c r="E93" i="1"/>
  <c r="E94" i="1"/>
  <c r="E224" i="1"/>
  <c r="E102" i="1"/>
  <c r="M225" i="1"/>
  <c r="M228" i="1"/>
  <c r="M227" i="1"/>
  <c r="E226" i="1"/>
  <c r="M229" i="1"/>
  <c r="M226" i="1"/>
  <c r="E228" i="1"/>
  <c r="E229" i="1"/>
  <c r="M230" i="1"/>
  <c r="E227" i="1"/>
  <c r="M231" i="1"/>
  <c r="M232" i="1"/>
  <c r="E230" i="1"/>
  <c r="M233" i="1"/>
  <c r="E232" i="1"/>
  <c r="E231" i="1"/>
  <c r="M234" i="1"/>
  <c r="E234" i="1"/>
  <c r="M235" i="1"/>
  <c r="E233" i="1"/>
  <c r="M236" i="1"/>
  <c r="E235" i="1"/>
  <c r="M237" i="1"/>
  <c r="M238" i="1"/>
  <c r="E236" i="1"/>
  <c r="M239" i="1"/>
  <c r="E237" i="1"/>
  <c r="M240" i="1"/>
  <c r="E238" i="1"/>
  <c r="E239" i="1"/>
  <c r="M241" i="1"/>
  <c r="M242" i="1"/>
  <c r="E240" i="1"/>
  <c r="E242" i="1"/>
  <c r="M244" i="1"/>
  <c r="E241" i="1"/>
  <c r="M243" i="1"/>
  <c r="M245" i="1"/>
  <c r="M246" i="1"/>
  <c r="E243" i="1"/>
  <c r="E244" i="1"/>
  <c r="E246" i="1"/>
  <c r="M248" i="1"/>
  <c r="M247" i="1"/>
  <c r="E245" i="1"/>
  <c r="M249" i="1"/>
  <c r="E247" i="1"/>
  <c r="M250" i="1"/>
  <c r="E248" i="1"/>
  <c r="M251" i="1"/>
  <c r="M252" i="1"/>
  <c r="E249" i="1"/>
  <c r="E250" i="1"/>
  <c r="E251" i="1"/>
  <c r="E252" i="1"/>
  <c r="E253" i="1"/>
  <c r="M253" i="1"/>
  <c r="N252" i="1" l="1"/>
  <c r="Q106" i="1" s="1"/>
  <c r="M106" i="1"/>
  <c r="N248" i="1"/>
  <c r="Q102" i="1" s="1"/>
  <c r="M102" i="1"/>
  <c r="N246" i="1"/>
  <c r="Q100" i="1" s="1"/>
  <c r="M100" i="1"/>
  <c r="N243" i="1"/>
  <c r="Q97" i="1" s="1"/>
  <c r="M97" i="1"/>
  <c r="N244" i="1"/>
  <c r="Q98" i="1" s="1"/>
  <c r="M98" i="1"/>
  <c r="N241" i="1"/>
  <c r="Q95" i="1" s="1"/>
  <c r="M95" i="1"/>
  <c r="N237" i="1"/>
  <c r="Q91" i="1" s="1"/>
  <c r="M91" i="1"/>
  <c r="N236" i="1"/>
  <c r="Q90" i="1" s="1"/>
  <c r="M90" i="1"/>
  <c r="N235" i="1"/>
  <c r="Q89" i="1" s="1"/>
  <c r="M89" i="1"/>
  <c r="N234" i="1"/>
  <c r="Q88" i="1" s="1"/>
  <c r="M88" i="1"/>
  <c r="N231" i="1"/>
  <c r="Q85" i="1" s="1"/>
  <c r="M85" i="1"/>
  <c r="N230" i="1"/>
  <c r="Q84" i="1" s="1"/>
  <c r="M84" i="1"/>
  <c r="N229" i="1"/>
  <c r="Q83" i="1" s="1"/>
  <c r="M83" i="1"/>
  <c r="N227" i="1"/>
  <c r="B227" i="1" s="1"/>
  <c r="Q227" i="1" s="1"/>
  <c r="M81" i="1"/>
  <c r="O161" i="1"/>
  <c r="O169" i="1" s="1"/>
  <c r="O170" i="1" s="1"/>
  <c r="M161" i="1"/>
  <c r="N225" i="1"/>
  <c r="B225" i="1" s="1"/>
  <c r="Q225" i="1" s="1"/>
  <c r="M79" i="1"/>
  <c r="M144" i="1"/>
  <c r="O144" i="1"/>
  <c r="O152" i="1" s="1"/>
  <c r="O153" i="1" s="1"/>
  <c r="J93" i="1"/>
  <c r="J81" i="1"/>
  <c r="Z44" i="1"/>
  <c r="J104" i="1"/>
  <c r="J97" i="1"/>
  <c r="J99" i="1"/>
  <c r="J85" i="1"/>
  <c r="J78" i="1"/>
  <c r="Z41" i="1"/>
  <c r="N224" i="1"/>
  <c r="B224" i="1" s="1"/>
  <c r="Q224" i="1" s="1"/>
  <c r="M78" i="1"/>
  <c r="J103" i="1"/>
  <c r="J86" i="1"/>
  <c r="J106" i="1"/>
  <c r="J96" i="1"/>
  <c r="J91" i="1"/>
  <c r="J83" i="1"/>
  <c r="D45" i="1"/>
  <c r="M267" i="1"/>
  <c r="E255" i="1"/>
  <c r="I253" i="1" s="1"/>
  <c r="N253" i="1"/>
  <c r="Q107" i="1" s="1"/>
  <c r="M107" i="1"/>
  <c r="N251" i="1"/>
  <c r="Q105" i="1" s="1"/>
  <c r="M105" i="1"/>
  <c r="N250" i="1"/>
  <c r="Q104" i="1" s="1"/>
  <c r="M104" i="1"/>
  <c r="N249" i="1"/>
  <c r="Q103" i="1" s="1"/>
  <c r="M103" i="1"/>
  <c r="N247" i="1"/>
  <c r="Q101" i="1" s="1"/>
  <c r="M101" i="1"/>
  <c r="N245" i="1"/>
  <c r="Q99" i="1" s="1"/>
  <c r="M99" i="1"/>
  <c r="N242" i="1"/>
  <c r="Q96" i="1" s="1"/>
  <c r="M96" i="1"/>
  <c r="N240" i="1"/>
  <c r="Q94" i="1" s="1"/>
  <c r="M94" i="1"/>
  <c r="N239" i="1"/>
  <c r="Q93" i="1" s="1"/>
  <c r="M93" i="1"/>
  <c r="N238" i="1"/>
  <c r="Q92" i="1" s="1"/>
  <c r="M92" i="1"/>
  <c r="N233" i="1"/>
  <c r="Q87" i="1" s="1"/>
  <c r="M87" i="1"/>
  <c r="N232" i="1"/>
  <c r="Q86" i="1" s="1"/>
  <c r="M86" i="1"/>
  <c r="N226" i="1"/>
  <c r="B226" i="1" s="1"/>
  <c r="Q226" i="1" s="1"/>
  <c r="M80" i="1"/>
  <c r="N228" i="1"/>
  <c r="Q82" i="1" s="1"/>
  <c r="M82" i="1"/>
  <c r="J102" i="1"/>
  <c r="J94" i="1"/>
  <c r="J84" i="1"/>
  <c r="J82" i="1"/>
  <c r="J89" i="1"/>
  <c r="J92" i="1"/>
  <c r="J90" i="1"/>
  <c r="J80" i="1"/>
  <c r="Z43" i="1"/>
  <c r="M255" i="1"/>
  <c r="M77" i="1"/>
  <c r="N223" i="1"/>
  <c r="M264" i="1"/>
  <c r="M265" i="1" s="1"/>
  <c r="B223" i="1"/>
  <c r="Q223" i="1" s="1"/>
  <c r="M180" i="1"/>
  <c r="M127" i="1"/>
  <c r="O180" i="1"/>
  <c r="O127" i="1"/>
  <c r="J100" i="1"/>
  <c r="J98" i="1"/>
  <c r="J88" i="1"/>
  <c r="C77" i="1"/>
  <c r="E109" i="1"/>
  <c r="I109" i="1" s="1"/>
  <c r="J77" i="1"/>
  <c r="Z40" i="1"/>
  <c r="AA40" i="1" s="1"/>
  <c r="G109" i="1"/>
  <c r="J105" i="1"/>
  <c r="J101" i="1"/>
  <c r="J79" i="1"/>
  <c r="Z42" i="1"/>
  <c r="J95" i="1"/>
  <c r="J87" i="1"/>
  <c r="J107" i="1"/>
  <c r="B251" i="1" l="1"/>
  <c r="Q251" i="1" s="1"/>
  <c r="B253" i="1"/>
  <c r="Q253" i="1" s="1"/>
  <c r="B237" i="1"/>
  <c r="Q237" i="1" s="1"/>
  <c r="R95" i="1"/>
  <c r="R102" i="1"/>
  <c r="B238" i="1"/>
  <c r="Q238" i="1" s="1"/>
  <c r="R93" i="1"/>
  <c r="B245" i="1"/>
  <c r="Q245" i="1" s="1"/>
  <c r="R101" i="1"/>
  <c r="B231" i="1"/>
  <c r="Q231" i="1" s="1"/>
  <c r="R88" i="1"/>
  <c r="B246" i="1"/>
  <c r="Q246" i="1" s="1"/>
  <c r="B229" i="1"/>
  <c r="Q229" i="1" s="1"/>
  <c r="R84" i="1"/>
  <c r="B235" i="1"/>
  <c r="Q235" i="1" s="1"/>
  <c r="R90" i="1"/>
  <c r="B244" i="1"/>
  <c r="Q244" i="1" s="1"/>
  <c r="R97" i="1"/>
  <c r="AA42" i="1"/>
  <c r="B228" i="1"/>
  <c r="Q228" i="1" s="1"/>
  <c r="B232" i="1"/>
  <c r="Q232" i="1" s="1"/>
  <c r="R87" i="1"/>
  <c r="B240" i="1"/>
  <c r="Q240" i="1" s="1"/>
  <c r="R96" i="1"/>
  <c r="B249" i="1"/>
  <c r="Q249" i="1" s="1"/>
  <c r="R104" i="1"/>
  <c r="O206" i="1"/>
  <c r="O135" i="1"/>
  <c r="O136" i="1" s="1"/>
  <c r="O262" i="1"/>
  <c r="AC34" i="1"/>
  <c r="B78" i="1"/>
  <c r="C78" i="1" s="1"/>
  <c r="B79" i="1" s="1"/>
  <c r="C79" i="1" s="1"/>
  <c r="B80" i="1" s="1"/>
  <c r="C80" i="1" s="1"/>
  <c r="B81" i="1" s="1"/>
  <c r="C81" i="1" s="1"/>
  <c r="B82" i="1" s="1"/>
  <c r="C82" i="1" s="1"/>
  <c r="B83" i="1" s="1"/>
  <c r="C83" i="1" s="1"/>
  <c r="B84" i="1" s="1"/>
  <c r="C84" i="1" s="1"/>
  <c r="B85" i="1" s="1"/>
  <c r="C85" i="1" s="1"/>
  <c r="B86" i="1" s="1"/>
  <c r="C86" i="1" s="1"/>
  <c r="B87" i="1" s="1"/>
  <c r="C87" i="1" s="1"/>
  <c r="B88" i="1" s="1"/>
  <c r="C88" i="1" s="1"/>
  <c r="B89" i="1" s="1"/>
  <c r="C89" i="1" s="1"/>
  <c r="B90" i="1" s="1"/>
  <c r="C90" i="1" s="1"/>
  <c r="B91" i="1" s="1"/>
  <c r="C91" i="1" s="1"/>
  <c r="B92" i="1" s="1"/>
  <c r="C92" i="1" s="1"/>
  <c r="B93" i="1" s="1"/>
  <c r="C93" i="1" s="1"/>
  <c r="B94" i="1" s="1"/>
  <c r="C94" i="1" s="1"/>
  <c r="B95" i="1" s="1"/>
  <c r="C95" i="1" s="1"/>
  <c r="B96" i="1" s="1"/>
  <c r="C96" i="1" s="1"/>
  <c r="B97" i="1" s="1"/>
  <c r="C97" i="1" s="1"/>
  <c r="B98" i="1" s="1"/>
  <c r="C98" i="1" s="1"/>
  <c r="B99" i="1" s="1"/>
  <c r="C99" i="1" s="1"/>
  <c r="B100" i="1" s="1"/>
  <c r="C100" i="1" s="1"/>
  <c r="B101" i="1" s="1"/>
  <c r="C101" i="1" s="1"/>
  <c r="B102" i="1" s="1"/>
  <c r="C102" i="1" s="1"/>
  <c r="B103" i="1" s="1"/>
  <c r="C103" i="1" s="1"/>
  <c r="B104" i="1" s="1"/>
  <c r="C104" i="1" s="1"/>
  <c r="B105" i="1" s="1"/>
  <c r="C105" i="1" s="1"/>
  <c r="B106" i="1" s="1"/>
  <c r="C106" i="1" s="1"/>
  <c r="B107" i="1" s="1"/>
  <c r="C107" i="1" s="1"/>
  <c r="O203" i="1"/>
  <c r="O188" i="1"/>
  <c r="O189" i="1" s="1"/>
  <c r="M261" i="1"/>
  <c r="M183" i="1"/>
  <c r="M182" i="1"/>
  <c r="M206" i="1"/>
  <c r="M266" i="1"/>
  <c r="I266" i="1" s="1"/>
  <c r="M109" i="1"/>
  <c r="AA43" i="1"/>
  <c r="R82" i="1"/>
  <c r="M43" i="1"/>
  <c r="Q80" i="1"/>
  <c r="R80" i="1" s="1"/>
  <c r="R86" i="1"/>
  <c r="B233" i="1"/>
  <c r="Q233" i="1" s="1"/>
  <c r="R92" i="1"/>
  <c r="B239" i="1"/>
  <c r="Q239" i="1" s="1"/>
  <c r="R94" i="1"/>
  <c r="B242" i="1"/>
  <c r="Q242" i="1" s="1"/>
  <c r="R99" i="1"/>
  <c r="B247" i="1"/>
  <c r="Q247" i="1" s="1"/>
  <c r="R103" i="1"/>
  <c r="B250" i="1"/>
  <c r="Q250" i="1" s="1"/>
  <c r="R105" i="1"/>
  <c r="R107" i="1"/>
  <c r="AC48" i="1"/>
  <c r="D48" i="1"/>
  <c r="I268" i="1"/>
  <c r="I267" i="1"/>
  <c r="M41" i="1"/>
  <c r="Q78" i="1"/>
  <c r="AA44" i="1"/>
  <c r="M259" i="1"/>
  <c r="C151" i="1"/>
  <c r="M146" i="1"/>
  <c r="M147" i="1"/>
  <c r="M152" i="1"/>
  <c r="M260" i="1"/>
  <c r="C168" i="1"/>
  <c r="M164" i="1"/>
  <c r="M163" i="1"/>
  <c r="M169" i="1" s="1"/>
  <c r="M44" i="1"/>
  <c r="Q81" i="1"/>
  <c r="R81" i="1" s="1"/>
  <c r="R83" i="1"/>
  <c r="B230" i="1"/>
  <c r="Q230" i="1" s="1"/>
  <c r="R85" i="1"/>
  <c r="B234" i="1"/>
  <c r="Q234" i="1" s="1"/>
  <c r="R89" i="1"/>
  <c r="B236" i="1"/>
  <c r="Q236" i="1" s="1"/>
  <c r="R91" i="1"/>
  <c r="B241" i="1"/>
  <c r="Q241" i="1" s="1"/>
  <c r="R98" i="1"/>
  <c r="B243" i="1"/>
  <c r="Q243" i="1" s="1"/>
  <c r="R100" i="1"/>
  <c r="B248" i="1"/>
  <c r="Q248" i="1" s="1"/>
  <c r="R106" i="1"/>
  <c r="M258" i="1"/>
  <c r="M130" i="1"/>
  <c r="M129" i="1"/>
  <c r="M262" i="1"/>
  <c r="I262" i="1" s="1"/>
  <c r="M135" i="1"/>
  <c r="N255" i="1"/>
  <c r="Q77" i="1"/>
  <c r="M40" i="1"/>
  <c r="M47" i="1"/>
  <c r="M45" i="1"/>
  <c r="N264" i="1"/>
  <c r="I256" i="1"/>
  <c r="I255" i="1"/>
  <c r="M256" i="1"/>
  <c r="AB48" i="1"/>
  <c r="C48" i="1"/>
  <c r="M32" i="1" s="1"/>
  <c r="J46" i="1"/>
  <c r="J45" i="1"/>
  <c r="AA41" i="1"/>
  <c r="O154" i="1"/>
  <c r="O155" i="1"/>
  <c r="O157" i="1" s="1"/>
  <c r="M42" i="1"/>
  <c r="Q79" i="1"/>
  <c r="R79" i="1" s="1"/>
  <c r="O171" i="1"/>
  <c r="O172" i="1"/>
  <c r="O174" i="1" s="1"/>
  <c r="B252" i="1"/>
  <c r="Q252" i="1" s="1"/>
  <c r="O207" i="1" l="1"/>
  <c r="O209" i="1" s="1"/>
  <c r="O210" i="1" s="1"/>
  <c r="N256" i="1"/>
  <c r="Z50" i="1" s="1"/>
  <c r="N261" i="1"/>
  <c r="H60" i="1"/>
  <c r="C47" i="1"/>
  <c r="Q109" i="1"/>
  <c r="Q110" i="1" s="1"/>
  <c r="R77" i="1"/>
  <c r="O130" i="1"/>
  <c r="I130" i="1" s="1"/>
  <c r="M136" i="1"/>
  <c r="M139" i="1"/>
  <c r="C133" i="1"/>
  <c r="M170" i="1"/>
  <c r="F168" i="1"/>
  <c r="G168" i="1" s="1"/>
  <c r="I168" i="1" s="1"/>
  <c r="M153" i="1"/>
  <c r="M156" i="1"/>
  <c r="F151" i="1"/>
  <c r="G151" i="1" s="1"/>
  <c r="I151" i="1" s="1"/>
  <c r="I72" i="1"/>
  <c r="M212" i="1"/>
  <c r="M192" i="1"/>
  <c r="O183" i="1"/>
  <c r="M203" i="1"/>
  <c r="O190" i="1"/>
  <c r="O191" i="1"/>
  <c r="O193" i="1" s="1"/>
  <c r="O196" i="1"/>
  <c r="M173" i="1"/>
  <c r="C167" i="1"/>
  <c r="F167" i="1" s="1"/>
  <c r="C150" i="1"/>
  <c r="F150" i="1" s="1"/>
  <c r="Q113" i="1"/>
  <c r="R78" i="1"/>
  <c r="N265" i="1"/>
  <c r="M188" i="1"/>
  <c r="M189" i="1" s="1"/>
  <c r="I183" i="1"/>
  <c r="O217" i="1"/>
  <c r="O211" i="1"/>
  <c r="O213" i="1" s="1"/>
  <c r="AB42" i="1"/>
  <c r="AC42" i="1" s="1"/>
  <c r="AB41" i="1"/>
  <c r="AC41" i="1" s="1"/>
  <c r="AC40" i="1"/>
  <c r="W40" i="1" s="1"/>
  <c r="AB44" i="1"/>
  <c r="AC44" i="1" s="1"/>
  <c r="AB43" i="1"/>
  <c r="AC43" i="1" s="1"/>
  <c r="O138" i="1"/>
  <c r="O140" i="1" s="1"/>
  <c r="O137" i="1"/>
  <c r="O215" i="1" l="1"/>
  <c r="N266" i="1"/>
  <c r="E48" i="1"/>
  <c r="F48" i="1" s="1"/>
  <c r="M48" i="1"/>
  <c r="AD50" i="1" s="1"/>
  <c r="M46" i="1"/>
  <c r="W46" i="1" s="1"/>
  <c r="I46" i="1" s="1"/>
  <c r="W43" i="1"/>
  <c r="G167" i="1"/>
  <c r="M207" i="1"/>
  <c r="M209" i="1" s="1"/>
  <c r="G206" i="1"/>
  <c r="W41" i="1"/>
  <c r="M154" i="1"/>
  <c r="M155" i="1"/>
  <c r="M157" i="1" s="1"/>
  <c r="M158" i="1" s="1"/>
  <c r="I263" i="1"/>
  <c r="AN60" i="1"/>
  <c r="AM60" i="1" s="1"/>
  <c r="L60" i="1"/>
  <c r="W42" i="1"/>
  <c r="M190" i="1"/>
  <c r="M196" i="1"/>
  <c r="M191" i="1"/>
  <c r="M193" i="1" s="1"/>
  <c r="M194" i="1" s="1"/>
  <c r="M195" i="1" s="1"/>
  <c r="G150" i="1"/>
  <c r="M172" i="1"/>
  <c r="M174" i="1" s="1"/>
  <c r="M175" i="1" s="1"/>
  <c r="M171" i="1"/>
  <c r="W44" i="1"/>
  <c r="F133" i="1"/>
  <c r="G133" i="1" s="1"/>
  <c r="M138" i="1"/>
  <c r="M140" i="1" s="1"/>
  <c r="M141" i="1" s="1"/>
  <c r="M142" i="1" s="1"/>
  <c r="M137" i="1"/>
  <c r="M36" i="1"/>
  <c r="M37" i="1" s="1"/>
  <c r="I32" i="1"/>
  <c r="AB50" i="1"/>
  <c r="M176" i="1" l="1"/>
  <c r="O164" i="1"/>
  <c r="I164" i="1" s="1"/>
  <c r="M159" i="1"/>
  <c r="O147" i="1"/>
  <c r="I147" i="1" s="1"/>
  <c r="I133" i="1"/>
  <c r="I223" i="1"/>
  <c r="G37" i="1"/>
  <c r="M38" i="1"/>
  <c r="M217" i="1"/>
  <c r="I217" i="1" s="1"/>
  <c r="M211" i="1"/>
  <c r="M213" i="1" s="1"/>
  <c r="M210" i="1"/>
  <c r="AX64" i="1"/>
  <c r="AW64" i="1" s="1"/>
  <c r="AC50" i="1"/>
  <c r="W48" i="1"/>
  <c r="I138" i="1"/>
  <c r="N219" i="1"/>
  <c r="M30" i="1"/>
  <c r="I172" i="1"/>
  <c r="I225" i="1"/>
  <c r="I150" i="1"/>
  <c r="I155" i="1"/>
  <c r="I227" i="1"/>
  <c r="I167" i="1"/>
  <c r="C42" i="1"/>
  <c r="B42" i="1" s="1"/>
  <c r="B48" i="1"/>
  <c r="H63" i="1" l="1"/>
  <c r="AN63" i="1" s="1"/>
  <c r="AM63" i="1" s="1"/>
  <c r="D75" i="1"/>
  <c r="O225" i="1"/>
  <c r="O223" i="1"/>
  <c r="O224" i="1"/>
  <c r="O232" i="1"/>
  <c r="O245" i="1"/>
  <c r="O251" i="1"/>
  <c r="O228" i="1"/>
  <c r="O253" i="1"/>
  <c r="O227" i="1"/>
  <c r="Q44" i="1" s="1"/>
  <c r="O229" i="1"/>
  <c r="O231" i="1"/>
  <c r="O235" i="1"/>
  <c r="O237" i="1"/>
  <c r="O244" i="1"/>
  <c r="O246" i="1"/>
  <c r="O226" i="1"/>
  <c r="Q43" i="1" s="1"/>
  <c r="O238" i="1"/>
  <c r="O240" i="1"/>
  <c r="O249" i="1"/>
  <c r="O243" i="1"/>
  <c r="O230" i="1"/>
  <c r="O239" i="1"/>
  <c r="O241" i="1"/>
  <c r="O242" i="1"/>
  <c r="O252" i="1"/>
  <c r="O236" i="1"/>
  <c r="O247" i="1"/>
  <c r="O248" i="1"/>
  <c r="O234" i="1"/>
  <c r="O250" i="1"/>
  <c r="O233" i="1"/>
  <c r="M215" i="1"/>
  <c r="I215" i="1" s="1"/>
  <c r="M214" i="1"/>
  <c r="S87" i="1" l="1"/>
  <c r="X87" i="1" s="1"/>
  <c r="O87" i="1"/>
  <c r="S88" i="1"/>
  <c r="X88" i="1" s="1"/>
  <c r="O88" i="1"/>
  <c r="S101" i="1"/>
  <c r="X101" i="1" s="1"/>
  <c r="O101" i="1"/>
  <c r="S106" i="1"/>
  <c r="X106" i="1" s="1"/>
  <c r="O106" i="1"/>
  <c r="S95" i="1"/>
  <c r="X95" i="1" s="1"/>
  <c r="O95" i="1"/>
  <c r="S84" i="1"/>
  <c r="X84" i="1" s="1"/>
  <c r="O84" i="1"/>
  <c r="S103" i="1"/>
  <c r="X103" i="1" s="1"/>
  <c r="O103" i="1"/>
  <c r="S92" i="1"/>
  <c r="X92" i="1" s="1"/>
  <c r="O92" i="1"/>
  <c r="S100" i="1"/>
  <c r="X100" i="1" s="1"/>
  <c r="O100" i="1"/>
  <c r="S91" i="1"/>
  <c r="X91" i="1" s="1"/>
  <c r="O91" i="1"/>
  <c r="S85" i="1"/>
  <c r="X85" i="1" s="1"/>
  <c r="O85" i="1"/>
  <c r="I44" i="1"/>
  <c r="S81" i="1"/>
  <c r="X81" i="1" s="1"/>
  <c r="O81" i="1"/>
  <c r="O260" i="1"/>
  <c r="I260" i="1" s="1"/>
  <c r="S82" i="1"/>
  <c r="X82" i="1" s="1"/>
  <c r="O82" i="1"/>
  <c r="S99" i="1"/>
  <c r="X99" i="1" s="1"/>
  <c r="O99" i="1"/>
  <c r="Q41" i="1"/>
  <c r="I41" i="1" s="1"/>
  <c r="S78" i="1"/>
  <c r="X78" i="1" s="1"/>
  <c r="O78" i="1"/>
  <c r="Q42" i="1"/>
  <c r="I42" i="1" s="1"/>
  <c r="S79" i="1"/>
  <c r="X79" i="1" s="1"/>
  <c r="O79" i="1"/>
  <c r="O259" i="1"/>
  <c r="I259" i="1" s="1"/>
  <c r="S104" i="1"/>
  <c r="X104" i="1" s="1"/>
  <c r="O104" i="1"/>
  <c r="S102" i="1"/>
  <c r="X102" i="1" s="1"/>
  <c r="O102" i="1"/>
  <c r="S90" i="1"/>
  <c r="X90" i="1" s="1"/>
  <c r="O90" i="1"/>
  <c r="S96" i="1"/>
  <c r="X96" i="1" s="1"/>
  <c r="O96" i="1"/>
  <c r="S93" i="1"/>
  <c r="X93" i="1" s="1"/>
  <c r="O93" i="1"/>
  <c r="S97" i="1"/>
  <c r="X97" i="1" s="1"/>
  <c r="O97" i="1"/>
  <c r="S94" i="1"/>
  <c r="X94" i="1" s="1"/>
  <c r="O94" i="1"/>
  <c r="I43" i="1"/>
  <c r="S80" i="1"/>
  <c r="X80" i="1" s="1"/>
  <c r="O80" i="1"/>
  <c r="S98" i="1"/>
  <c r="X98" i="1" s="1"/>
  <c r="O98" i="1"/>
  <c r="S89" i="1"/>
  <c r="X89" i="1" s="1"/>
  <c r="O89" i="1"/>
  <c r="S83" i="1"/>
  <c r="X83" i="1" s="1"/>
  <c r="O83" i="1"/>
  <c r="S107" i="1"/>
  <c r="X107" i="1" s="1"/>
  <c r="O107" i="1"/>
  <c r="S105" i="1"/>
  <c r="X105" i="1" s="1"/>
  <c r="O105" i="1"/>
  <c r="S86" i="1"/>
  <c r="X86" i="1" s="1"/>
  <c r="O86" i="1"/>
  <c r="O255" i="1"/>
  <c r="O256" i="1" s="1"/>
  <c r="S77" i="1"/>
  <c r="Q40" i="1"/>
  <c r="O77" i="1"/>
  <c r="Q45" i="1"/>
  <c r="Q47" i="1"/>
  <c r="O264" i="1"/>
  <c r="O258" i="1"/>
  <c r="I258" i="1" s="1"/>
  <c r="O109" i="1" l="1"/>
  <c r="P77" i="1"/>
  <c r="W77" i="1"/>
  <c r="S109" i="1"/>
  <c r="I265" i="1" s="1"/>
  <c r="X77" i="1"/>
  <c r="W86" i="1"/>
  <c r="I86" i="1" s="1"/>
  <c r="P86" i="1"/>
  <c r="W105" i="1"/>
  <c r="I105" i="1" s="1"/>
  <c r="P105" i="1"/>
  <c r="W107" i="1"/>
  <c r="I107" i="1" s="1"/>
  <c r="P107" i="1"/>
  <c r="W83" i="1"/>
  <c r="I83" i="1" s="1"/>
  <c r="P83" i="1"/>
  <c r="W89" i="1"/>
  <c r="I89" i="1" s="1"/>
  <c r="P89" i="1"/>
  <c r="W98" i="1"/>
  <c r="I98" i="1" s="1"/>
  <c r="P98" i="1"/>
  <c r="W80" i="1"/>
  <c r="I80" i="1" s="1"/>
  <c r="P80" i="1"/>
  <c r="O113" i="1"/>
  <c r="W78" i="1"/>
  <c r="I78" i="1" s="1"/>
  <c r="P78" i="1"/>
  <c r="W81" i="1"/>
  <c r="I81" i="1" s="1"/>
  <c r="P81" i="1"/>
  <c r="O265" i="1"/>
  <c r="Q48" i="1" s="1"/>
  <c r="I40" i="1"/>
  <c r="O261" i="1"/>
  <c r="I261" i="1" s="1"/>
  <c r="W94" i="1"/>
  <c r="I94" i="1" s="1"/>
  <c r="P94" i="1"/>
  <c r="W97" i="1"/>
  <c r="I97" i="1" s="1"/>
  <c r="P97" i="1"/>
  <c r="W93" i="1"/>
  <c r="I93" i="1" s="1"/>
  <c r="P93" i="1"/>
  <c r="W96" i="1"/>
  <c r="I96" i="1" s="1"/>
  <c r="P96" i="1"/>
  <c r="W90" i="1"/>
  <c r="I90" i="1" s="1"/>
  <c r="P90" i="1"/>
  <c r="W102" i="1"/>
  <c r="I102" i="1" s="1"/>
  <c r="P102" i="1"/>
  <c r="W104" i="1"/>
  <c r="I104" i="1" s="1"/>
  <c r="P104" i="1"/>
  <c r="W79" i="1"/>
  <c r="I79" i="1" s="1"/>
  <c r="P79" i="1"/>
  <c r="W99" i="1"/>
  <c r="I99" i="1" s="1"/>
  <c r="P99" i="1"/>
  <c r="W82" i="1"/>
  <c r="I82" i="1" s="1"/>
  <c r="P82" i="1"/>
  <c r="W85" i="1"/>
  <c r="I85" i="1" s="1"/>
  <c r="P85" i="1"/>
  <c r="W91" i="1"/>
  <c r="I91" i="1" s="1"/>
  <c r="P91" i="1"/>
  <c r="W100" i="1"/>
  <c r="I100" i="1" s="1"/>
  <c r="P100" i="1"/>
  <c r="W92" i="1"/>
  <c r="I92" i="1" s="1"/>
  <c r="P92" i="1"/>
  <c r="W103" i="1"/>
  <c r="I103" i="1" s="1"/>
  <c r="P103" i="1"/>
  <c r="W84" i="1"/>
  <c r="I84" i="1" s="1"/>
  <c r="P84" i="1"/>
  <c r="W95" i="1"/>
  <c r="I95" i="1" s="1"/>
  <c r="P95" i="1"/>
  <c r="W106" i="1"/>
  <c r="I106" i="1" s="1"/>
  <c r="P106" i="1"/>
  <c r="W101" i="1"/>
  <c r="I101" i="1" s="1"/>
  <c r="P101" i="1"/>
  <c r="W88" i="1"/>
  <c r="I88" i="1" s="1"/>
  <c r="P88" i="1"/>
  <c r="W87" i="1"/>
  <c r="I87" i="1" s="1"/>
  <c r="P87" i="1"/>
  <c r="M216" i="1"/>
  <c r="I216" i="1" s="1"/>
  <c r="I12" i="1" l="1"/>
  <c r="W45" i="1"/>
  <c r="I45" i="1" s="1"/>
  <c r="I77" i="1"/>
  <c r="O110" i="1"/>
  <c r="W109" i="1"/>
  <c r="I10" i="1"/>
  <c r="D12" i="1"/>
  <c r="O266" i="1"/>
  <c r="AD48" i="1"/>
  <c r="Q46" i="1"/>
  <c r="I111" i="1"/>
  <c r="C12" i="1" s="1"/>
  <c r="S110" i="1"/>
  <c r="I110" i="1" s="1"/>
  <c r="X109" i="1"/>
  <c r="AN64" i="1" l="1"/>
  <c r="I60" i="1"/>
  <c r="V48" i="1"/>
  <c r="I48" i="1" s="1"/>
  <c r="AE48" i="1"/>
  <c r="AA48" i="1" s="1"/>
  <c r="W47" i="1" s="1"/>
  <c r="X47" i="1"/>
  <c r="X13" i="1" s="1"/>
  <c r="I108" i="1"/>
  <c r="I50" i="1" l="1"/>
  <c r="I47" i="1"/>
  <c r="W13" i="1"/>
  <c r="G12" i="1"/>
  <c r="A12" i="1"/>
  <c r="AI64" i="1"/>
  <c r="L64" i="1" s="1"/>
  <c r="AM64" i="1"/>
  <c r="I13" i="1" l="1"/>
  <c r="J22" i="1" s="1"/>
  <c r="B12" i="1"/>
  <c r="I1" i="1"/>
  <c r="A10" i="1"/>
  <c r="F12" i="1"/>
</calcChain>
</file>

<file path=xl/comments1.xml><?xml version="1.0" encoding="utf-8"?>
<comments xmlns="http://schemas.openxmlformats.org/spreadsheetml/2006/main">
  <authors>
    <author>Silver, Steve</author>
    <author>HP Authorized Customer</author>
  </authors>
  <commentList>
    <comment ref="M1" authorId="0">
      <text>
        <r>
          <rPr>
            <b/>
            <sz val="9"/>
            <color indexed="81"/>
            <rFont val="Tahoma"/>
            <family val="2"/>
          </rPr>
          <t>Silver, Steve:</t>
        </r>
        <r>
          <rPr>
            <sz val="9"/>
            <color indexed="81"/>
            <rFont val="Tahoma"/>
            <family val="2"/>
          </rPr>
          <t xml:space="preserve">
This will illustrate either just the expected value of the Credit or Net it against Potential Interest Deduction losses for the individual homebuyer.</t>
        </r>
      </text>
    </comment>
    <comment ref="N1" authorId="0">
      <text>
        <r>
          <rPr>
            <b/>
            <sz val="9"/>
            <color indexed="81"/>
            <rFont val="Tahoma"/>
            <family val="2"/>
          </rPr>
          <t>Silver, Steve:</t>
        </r>
        <r>
          <rPr>
            <sz val="9"/>
            <color indexed="81"/>
            <rFont val="Tahoma"/>
            <family val="2"/>
          </rPr>
          <t xml:space="preserve">
Indicates the numbers of years assumed in life of mortgage calculations</t>
        </r>
      </text>
    </comment>
    <comment ref="O1" authorId="0">
      <text>
        <r>
          <rPr>
            <b/>
            <sz val="9"/>
            <color indexed="81"/>
            <rFont val="Tahoma"/>
            <family val="2"/>
          </rPr>
          <t>Silver, Steve:</t>
        </r>
        <r>
          <rPr>
            <sz val="9"/>
            <color indexed="81"/>
            <rFont val="Tahoma"/>
            <family val="2"/>
          </rPr>
          <t xml:space="preserve">
Number of Months in Mortgage</t>
        </r>
      </text>
    </comment>
    <comment ref="P1" authorId="0">
      <text>
        <r>
          <rPr>
            <b/>
            <sz val="9"/>
            <color indexed="81"/>
            <rFont val="Tahoma"/>
            <family val="2"/>
          </rPr>
          <t>Silver, Steve:</t>
        </r>
        <r>
          <rPr>
            <sz val="9"/>
            <color indexed="81"/>
            <rFont val="Tahoma"/>
            <family val="2"/>
          </rPr>
          <t xml:space="preserve">
MCC Rate being used by DHCD</t>
        </r>
      </text>
    </comment>
    <comment ref="Q1" authorId="0">
      <text>
        <r>
          <rPr>
            <b/>
            <sz val="9"/>
            <color indexed="81"/>
            <rFont val="Tahoma"/>
            <family val="2"/>
          </rPr>
          <t>Silver, Steve:</t>
        </r>
        <r>
          <rPr>
            <sz val="9"/>
            <color indexed="81"/>
            <rFont val="Tahoma"/>
            <family val="2"/>
          </rPr>
          <t xml:space="preserve">
This is the MCC Fee; it is deducted out of year 1 NET Benefits</t>
        </r>
      </text>
    </comment>
    <comment ref="R1" authorId="0">
      <text>
        <r>
          <rPr>
            <b/>
            <sz val="9"/>
            <color indexed="81"/>
            <rFont val="Tahoma"/>
            <family val="2"/>
          </rPr>
          <t>Silver, Steve:</t>
        </r>
        <r>
          <rPr>
            <sz val="9"/>
            <color indexed="81"/>
            <rFont val="Tahoma"/>
            <family val="2"/>
          </rPr>
          <t xml:space="preserve">
This is for NET MCC to show tax consequences only</t>
        </r>
      </text>
    </comment>
    <comment ref="S1" authorId="0">
      <text>
        <r>
          <rPr>
            <b/>
            <sz val="9"/>
            <color indexed="81"/>
            <rFont val="Tahoma"/>
            <family val="2"/>
          </rPr>
          <t>Silver, Steve:</t>
        </r>
        <r>
          <rPr>
            <sz val="9"/>
            <color indexed="81"/>
            <rFont val="Tahoma"/>
            <family val="2"/>
          </rPr>
          <t xml:space="preserve">
Assumed Tax Bracket</t>
        </r>
      </text>
    </comment>
    <comment ref="T1" authorId="0">
      <text>
        <r>
          <rPr>
            <b/>
            <sz val="9"/>
            <color indexed="81"/>
            <rFont val="Tahoma"/>
            <family val="2"/>
          </rPr>
          <t>Silver, Steve:</t>
        </r>
        <r>
          <rPr>
            <sz val="9"/>
            <color indexed="81"/>
            <rFont val="Tahoma"/>
            <family val="2"/>
          </rPr>
          <t xml:space="preserve">
Default Interest Rate
</t>
        </r>
      </text>
    </comment>
    <comment ref="D3" authorId="0">
      <text>
        <r>
          <rPr>
            <b/>
            <sz val="9"/>
            <color indexed="81"/>
            <rFont val="Tahoma"/>
            <family val="2"/>
          </rPr>
          <t>Silver, Steve:</t>
        </r>
        <r>
          <rPr>
            <sz val="9"/>
            <color indexed="81"/>
            <rFont val="Tahoma"/>
            <family val="2"/>
          </rPr>
          <t xml:space="preserve">
Assumed Down Payment; used to Derive Purchase Price</t>
        </r>
      </text>
    </comment>
    <comment ref="D4" authorId="0">
      <text>
        <r>
          <rPr>
            <b/>
            <sz val="9"/>
            <color indexed="81"/>
            <rFont val="Tahoma"/>
            <family val="2"/>
          </rPr>
          <t>Silver, Steve:</t>
        </r>
        <r>
          <rPr>
            <sz val="9"/>
            <color indexed="81"/>
            <rFont val="Tahoma"/>
            <family val="2"/>
          </rPr>
          <t xml:space="preserve">
FHA Upfront MIP; used to derive Purchase Price</t>
        </r>
      </text>
    </comment>
    <comment ref="E4" authorId="0">
      <text>
        <r>
          <rPr>
            <b/>
            <sz val="9"/>
            <color indexed="81"/>
            <rFont val="Tahoma"/>
            <family val="2"/>
          </rPr>
          <t>Silver, Steve:</t>
        </r>
        <r>
          <rPr>
            <sz val="9"/>
            <color indexed="81"/>
            <rFont val="Tahoma"/>
            <family val="2"/>
          </rPr>
          <t xml:space="preserve">
SINGLE PAY MIP from Genworth rates based on credit score of 680-719 -- CLASS 2; rate could change depending on credit score or MI chosen.  If a Single Pay is chosen there is no ongoing MIP.</t>
        </r>
      </text>
    </comment>
    <comment ref="F4" authorId="0">
      <text>
        <r>
          <rPr>
            <b/>
            <sz val="9"/>
            <color indexed="81"/>
            <rFont val="Tahoma"/>
            <family val="2"/>
          </rPr>
          <t>Silver, Steve:</t>
        </r>
        <r>
          <rPr>
            <sz val="9"/>
            <color indexed="81"/>
            <rFont val="Tahoma"/>
            <family val="2"/>
          </rPr>
          <t xml:space="preserve">
SINGLE PAY MIP from Genworth rates based on credit score of 680-719 -- CLASS 2; rate could change depending on credit score or MI chosen.  If a Single Pay is chosen there is no ongoing MIP.</t>
        </r>
      </text>
    </comment>
    <comment ref="E5" authorId="0">
      <text>
        <r>
          <rPr>
            <b/>
            <sz val="9"/>
            <color indexed="81"/>
            <rFont val="Tahoma"/>
            <family val="2"/>
          </rPr>
          <t>Silver, Steve:</t>
        </r>
        <r>
          <rPr>
            <sz val="9"/>
            <color indexed="81"/>
            <rFont val="Tahoma"/>
            <family val="2"/>
          </rPr>
          <t xml:space="preserve">
Genworth rates based on credit score of 680-719 -- CLASS 2; rate could change depending on credit score or MI chosen</t>
        </r>
      </text>
    </comment>
    <comment ref="F5" authorId="0">
      <text>
        <r>
          <rPr>
            <b/>
            <sz val="9"/>
            <color indexed="81"/>
            <rFont val="Tahoma"/>
            <family val="2"/>
          </rPr>
          <t>Silver, Steve:</t>
        </r>
        <r>
          <rPr>
            <sz val="9"/>
            <color indexed="81"/>
            <rFont val="Tahoma"/>
            <family val="2"/>
          </rPr>
          <t xml:space="preserve">
Genworth rates based on credit score of 680-719 -- CLASS 2; rate could change depending on credit score or MI chosen</t>
        </r>
      </text>
    </comment>
    <comment ref="C13" authorId="0">
      <text>
        <r>
          <rPr>
            <b/>
            <sz val="9"/>
            <color indexed="81"/>
            <rFont val="Tahoma"/>
            <family val="2"/>
          </rPr>
          <t>Silver, Steve:</t>
        </r>
        <r>
          <rPr>
            <sz val="9"/>
            <color indexed="81"/>
            <rFont val="Tahoma"/>
            <family val="2"/>
          </rPr>
          <t xml:space="preserve">
Only pertains to Conventional Loan Options</t>
        </r>
      </text>
    </comment>
    <comment ref="D23" authorId="0">
      <text>
        <r>
          <rPr>
            <b/>
            <sz val="9"/>
            <color indexed="81"/>
            <rFont val="Tahoma"/>
            <family val="2"/>
          </rPr>
          <t>Silver, Steve:</t>
        </r>
        <r>
          <rPr>
            <sz val="9"/>
            <color indexed="81"/>
            <rFont val="Tahoma"/>
            <family val="2"/>
          </rPr>
          <t xml:space="preserve">
Assumed Down Payment; used to Derive Purchase Price</t>
        </r>
      </text>
    </comment>
    <comment ref="E23" authorId="0">
      <text>
        <r>
          <rPr>
            <b/>
            <sz val="9"/>
            <color indexed="81"/>
            <rFont val="Tahoma"/>
            <family val="2"/>
          </rPr>
          <t>Silver, Steve:</t>
        </r>
        <r>
          <rPr>
            <sz val="9"/>
            <color indexed="81"/>
            <rFont val="Tahoma"/>
            <family val="2"/>
          </rPr>
          <t xml:space="preserve">
FHA Upfront MIP; used to derive Purchase Price</t>
        </r>
      </text>
    </comment>
    <comment ref="D24" authorId="0">
      <text>
        <r>
          <rPr>
            <b/>
            <sz val="9"/>
            <color indexed="81"/>
            <rFont val="Tahoma"/>
            <family val="2"/>
          </rPr>
          <t>Silver, Steve:</t>
        </r>
        <r>
          <rPr>
            <sz val="9"/>
            <color indexed="81"/>
            <rFont val="Tahoma"/>
            <family val="2"/>
          </rPr>
          <t xml:space="preserve">
Assumed Down Payment; used to Derive Purchase Price</t>
        </r>
      </text>
    </comment>
    <comment ref="E24" authorId="0">
      <text>
        <r>
          <rPr>
            <b/>
            <sz val="9"/>
            <color indexed="81"/>
            <rFont val="Tahoma"/>
            <family val="2"/>
          </rPr>
          <t>Silver, Steve:</t>
        </r>
        <r>
          <rPr>
            <sz val="9"/>
            <color indexed="81"/>
            <rFont val="Tahoma"/>
            <family val="2"/>
          </rPr>
          <t xml:space="preserve">
FHA Upfront MIP; used to derive Purchase Price</t>
        </r>
      </text>
    </comment>
    <comment ref="D25" authorId="0">
      <text>
        <r>
          <rPr>
            <b/>
            <sz val="9"/>
            <color indexed="81"/>
            <rFont val="Tahoma"/>
            <family val="2"/>
          </rPr>
          <t>Silver, Steve:</t>
        </r>
        <r>
          <rPr>
            <sz val="9"/>
            <color indexed="81"/>
            <rFont val="Tahoma"/>
            <family val="2"/>
          </rPr>
          <t xml:space="preserve">
Assumed Down Payment; used to Derive Purchase Price</t>
        </r>
      </text>
    </comment>
    <comment ref="E25" authorId="0">
      <text>
        <r>
          <rPr>
            <b/>
            <sz val="9"/>
            <color indexed="81"/>
            <rFont val="Tahoma"/>
            <family val="2"/>
          </rPr>
          <t>Silver, Steve:</t>
        </r>
        <r>
          <rPr>
            <sz val="9"/>
            <color indexed="81"/>
            <rFont val="Tahoma"/>
            <family val="2"/>
          </rPr>
          <t xml:space="preserve">
FHA Upfront MIP; used to derive Purchase Price</t>
        </r>
      </text>
    </comment>
    <comment ref="E26" authorId="0">
      <text>
        <r>
          <rPr>
            <b/>
            <sz val="9"/>
            <color indexed="81"/>
            <rFont val="Tahoma"/>
            <family val="2"/>
          </rPr>
          <t>Silver, Steve:</t>
        </r>
        <r>
          <rPr>
            <sz val="9"/>
            <color indexed="81"/>
            <rFont val="Tahoma"/>
            <family val="2"/>
          </rPr>
          <t xml:space="preserve">
YES Indicates the same Home Price (use lesser amount possible under FHA) applies to both Scenarios</t>
        </r>
      </text>
    </comment>
    <comment ref="G26" authorId="0">
      <text>
        <r>
          <rPr>
            <b/>
            <sz val="9"/>
            <color indexed="81"/>
            <rFont val="Tahoma"/>
            <family val="2"/>
          </rPr>
          <t>Silver, Steve:</t>
        </r>
        <r>
          <rPr>
            <sz val="9"/>
            <color indexed="81"/>
            <rFont val="Tahoma"/>
            <family val="2"/>
          </rPr>
          <t xml:space="preserve">
This is the MCC Fee; it is deducted out of year 1 NET Benefits</t>
        </r>
      </text>
    </comment>
    <comment ref="D28" authorId="1">
      <text>
        <r>
          <rPr>
            <b/>
            <sz val="8"/>
            <color indexed="81"/>
            <rFont val="Tahoma"/>
            <family val="2"/>
          </rPr>
          <t>HP Authorized Customer:</t>
        </r>
        <r>
          <rPr>
            <sz val="8"/>
            <color indexed="81"/>
            <rFont val="Tahoma"/>
            <family val="2"/>
          </rPr>
          <t xml:space="preserve">
Standard Deduction</t>
        </r>
      </text>
    </comment>
    <comment ref="D29" authorId="1">
      <text>
        <r>
          <rPr>
            <b/>
            <sz val="8"/>
            <color indexed="81"/>
            <rFont val="Tahoma"/>
            <family val="2"/>
          </rPr>
          <t>HP Authorized Customer:</t>
        </r>
        <r>
          <rPr>
            <sz val="8"/>
            <color indexed="81"/>
            <rFont val="Tahoma"/>
            <family val="2"/>
          </rPr>
          <t xml:space="preserve">
Standard Deduction</t>
        </r>
      </text>
    </comment>
    <comment ref="E29" authorId="0">
      <text>
        <r>
          <rPr>
            <b/>
            <sz val="9"/>
            <color indexed="81"/>
            <rFont val="Tahoma"/>
            <family val="2"/>
          </rPr>
          <t>Silver, Steve:</t>
        </r>
        <r>
          <rPr>
            <sz val="9"/>
            <color indexed="81"/>
            <rFont val="Tahoma"/>
            <family val="2"/>
          </rPr>
          <t xml:space="preserve">
YES Indicates the use of a derived Borrower Income based on the DTI % to Right and Mortgage Size</t>
        </r>
      </text>
    </comment>
    <comment ref="F29" authorId="0">
      <text>
        <r>
          <rPr>
            <b/>
            <sz val="9"/>
            <color indexed="81"/>
            <rFont val="Tahoma"/>
            <family val="2"/>
          </rPr>
          <t>Silver, Steve:</t>
        </r>
        <r>
          <rPr>
            <sz val="9"/>
            <color indexed="81"/>
            <rFont val="Tahoma"/>
            <family val="2"/>
          </rPr>
          <t xml:space="preserve">
used to derive assumed borrower income</t>
        </r>
      </text>
    </comment>
    <comment ref="F30" authorId="0">
      <text>
        <r>
          <rPr>
            <b/>
            <sz val="9"/>
            <color indexed="81"/>
            <rFont val="Tahoma"/>
            <family val="2"/>
          </rPr>
          <t>Silver, Steve:</t>
        </r>
        <r>
          <rPr>
            <sz val="9"/>
            <color indexed="81"/>
            <rFont val="Tahoma"/>
            <family val="2"/>
          </rPr>
          <t xml:space="preserve">
If YES selected it will default to SELECTED Tax Bracket regardless of Income</t>
        </r>
      </text>
    </comment>
    <comment ref="M30" authorId="0">
      <text>
        <r>
          <rPr>
            <b/>
            <sz val="9"/>
            <color indexed="81"/>
            <rFont val="Tahoma"/>
            <family val="2"/>
          </rPr>
          <t>Silver, Steve:</t>
        </r>
        <r>
          <rPr>
            <sz val="9"/>
            <color indexed="81"/>
            <rFont val="Tahoma"/>
            <family val="2"/>
          </rPr>
          <t xml:space="preserve">
This is either the Year 1 Tax Bracket assumed with the MCC or the DEFAULTED Tax Bracket selected</t>
        </r>
      </text>
    </comment>
    <comment ref="G31" authorId="0">
      <text>
        <r>
          <rPr>
            <b/>
            <sz val="9"/>
            <color indexed="81"/>
            <rFont val="Tahoma"/>
            <family val="2"/>
          </rPr>
          <t>Silver, Steve:</t>
        </r>
        <r>
          <rPr>
            <sz val="9"/>
            <color indexed="81"/>
            <rFont val="Tahoma"/>
            <family val="2"/>
          </rPr>
          <t xml:space="preserve">
Default interest rate in case none is entered</t>
        </r>
      </text>
    </comment>
    <comment ref="G33" authorId="0">
      <text>
        <r>
          <rPr>
            <b/>
            <sz val="9"/>
            <color indexed="81"/>
            <rFont val="Tahoma"/>
            <family val="2"/>
          </rPr>
          <t>Silver, Steve:</t>
        </r>
        <r>
          <rPr>
            <sz val="9"/>
            <color indexed="81"/>
            <rFont val="Tahoma"/>
            <family val="2"/>
          </rPr>
          <t xml:space="preserve">
Comparison MCC Rate to 20%; should be the rate currently being used</t>
        </r>
      </text>
    </comment>
    <comment ref="I39" authorId="1">
      <text>
        <r>
          <rPr>
            <b/>
            <sz val="8"/>
            <color indexed="81"/>
            <rFont val="Tahoma"/>
            <family val="2"/>
          </rPr>
          <t>HP Authorized Customer:</t>
        </r>
        <r>
          <rPr>
            <sz val="8"/>
            <color indexed="81"/>
            <rFont val="Tahoma"/>
            <family val="2"/>
          </rPr>
          <t xml:space="preserve">
Check to make sure the date entered is on the FIRST of MONTH</t>
        </r>
      </text>
    </comment>
    <comment ref="E40" authorId="1">
      <text>
        <r>
          <rPr>
            <b/>
            <sz val="8"/>
            <color indexed="81"/>
            <rFont val="Tahoma"/>
            <family val="2"/>
          </rPr>
          <t>HP Authorized Customer:</t>
        </r>
        <r>
          <rPr>
            <sz val="8"/>
            <color indexed="81"/>
            <rFont val="Tahoma"/>
            <family val="2"/>
          </rPr>
          <t xml:space="preserve">
A date entered in this cell along with NO to the right will have the model start the MCC calculation based on a 1st payment month.</t>
        </r>
      </text>
    </comment>
    <comment ref="F40" authorId="1">
      <text>
        <r>
          <rPr>
            <b/>
            <sz val="8"/>
            <color indexed="81"/>
            <rFont val="Tahoma"/>
            <family val="2"/>
          </rPr>
          <t>HP Authorized Customer:</t>
        </r>
        <r>
          <rPr>
            <sz val="8"/>
            <color indexed="81"/>
            <rFont val="Tahoma"/>
            <family val="2"/>
          </rPr>
          <t xml:space="preserve">
YES means that the file assumes YEAR 1 is 12 months; NO indicates the file will use a real start date in Year 1 will correspond to a calendar year.</t>
        </r>
      </text>
    </comment>
    <comment ref="G40" authorId="0">
      <text>
        <r>
          <rPr>
            <b/>
            <sz val="9"/>
            <color indexed="81"/>
            <rFont val="Tahoma"/>
            <family val="2"/>
          </rPr>
          <t>Silver, Steve:</t>
        </r>
        <r>
          <rPr>
            <sz val="9"/>
            <color indexed="81"/>
            <rFont val="Tahoma"/>
            <family val="2"/>
          </rPr>
          <t xml:space="preserve">
Used for Interest Calculation Year</t>
        </r>
      </text>
    </comment>
    <comment ref="G45" authorId="0">
      <text>
        <r>
          <rPr>
            <b/>
            <sz val="9"/>
            <color indexed="81"/>
            <rFont val="Tahoma"/>
            <family val="2"/>
          </rPr>
          <t>Silver, Steve:</t>
        </r>
        <r>
          <rPr>
            <sz val="9"/>
            <color indexed="81"/>
            <rFont val="Tahoma"/>
            <family val="2"/>
          </rPr>
          <t xml:space="preserve">
Number of Years for determining aggregate savings</t>
        </r>
      </text>
    </comment>
    <comment ref="B46" authorId="0">
      <text>
        <r>
          <rPr>
            <b/>
            <sz val="9"/>
            <color indexed="81"/>
            <rFont val="Tahoma"/>
            <family val="2"/>
          </rPr>
          <t>Silver, Steve:</t>
        </r>
        <r>
          <rPr>
            <sz val="9"/>
            <color indexed="81"/>
            <rFont val="Tahoma"/>
            <family val="2"/>
          </rPr>
          <t xml:space="preserve">
This is the default or actual Principal Mortgage Amount used in model</t>
        </r>
      </text>
    </comment>
    <comment ref="B47" authorId="0">
      <text>
        <r>
          <rPr>
            <b/>
            <sz val="9"/>
            <color indexed="81"/>
            <rFont val="Tahoma"/>
            <family val="2"/>
          </rPr>
          <t>Silver, Steve:</t>
        </r>
        <r>
          <rPr>
            <sz val="9"/>
            <color indexed="81"/>
            <rFont val="Tahoma"/>
            <family val="2"/>
          </rPr>
          <t xml:space="preserve">
This is the default or actual interest rate used in model</t>
        </r>
      </text>
    </comment>
    <comment ref="C47" authorId="0">
      <text>
        <r>
          <rPr>
            <b/>
            <sz val="9"/>
            <color indexed="81"/>
            <rFont val="Tahoma"/>
            <family val="2"/>
          </rPr>
          <t>Silver, Steve:</t>
        </r>
        <r>
          <rPr>
            <sz val="9"/>
            <color indexed="81"/>
            <rFont val="Tahoma"/>
            <family val="2"/>
          </rPr>
          <t xml:space="preserve">
This is the cumulative scheduled Interest without the MCC over period selected. </t>
        </r>
      </text>
    </comment>
    <comment ref="D48" authorId="0">
      <text>
        <r>
          <rPr>
            <b/>
            <sz val="9"/>
            <color indexed="81"/>
            <rFont val="Tahoma"/>
            <family val="2"/>
          </rPr>
          <t>Silver, Steve:</t>
        </r>
        <r>
          <rPr>
            <sz val="9"/>
            <color indexed="81"/>
            <rFont val="Tahoma"/>
            <family val="2"/>
          </rPr>
          <t xml:space="preserve">
Principal Over Period</t>
        </r>
      </text>
    </comment>
    <comment ref="E48" authorId="0">
      <text>
        <r>
          <rPr>
            <b/>
            <sz val="9"/>
            <color indexed="81"/>
            <rFont val="Tahoma"/>
            <family val="2"/>
          </rPr>
          <t>Silver, Steve:</t>
        </r>
        <r>
          <rPr>
            <sz val="9"/>
            <color indexed="81"/>
            <rFont val="Tahoma"/>
            <family val="2"/>
          </rPr>
          <t xml:space="preserve">
Interest LESS MCC Over Period</t>
        </r>
      </text>
    </comment>
    <comment ref="H48" authorId="0">
      <text>
        <r>
          <rPr>
            <b/>
            <sz val="9"/>
            <color indexed="81"/>
            <rFont val="Tahoma"/>
            <family val="2"/>
          </rPr>
          <t>Silver, Steve:</t>
        </r>
        <r>
          <rPr>
            <sz val="9"/>
            <color indexed="81"/>
            <rFont val="Tahoma"/>
            <family val="2"/>
          </rPr>
          <t xml:space="preserve">
If this is YES and Net MCC is selected it will shade out Gross Effective MCC Interest Rate to Right</t>
        </r>
      </text>
    </comment>
    <comment ref="AC48" authorId="0">
      <text>
        <r>
          <rPr>
            <b/>
            <sz val="9"/>
            <color indexed="81"/>
            <rFont val="Tahoma"/>
            <family val="2"/>
          </rPr>
          <t>Silver, Steve:</t>
        </r>
        <r>
          <rPr>
            <sz val="9"/>
            <color indexed="81"/>
            <rFont val="Tahoma"/>
            <family val="2"/>
          </rPr>
          <t xml:space="preserve">
Principal Over Period</t>
        </r>
      </text>
    </comment>
    <comment ref="AD48" authorId="0">
      <text>
        <r>
          <rPr>
            <b/>
            <sz val="9"/>
            <color indexed="81"/>
            <rFont val="Tahoma"/>
            <family val="2"/>
          </rPr>
          <t>Silver, Steve:</t>
        </r>
        <r>
          <rPr>
            <sz val="9"/>
            <color indexed="81"/>
            <rFont val="Tahoma"/>
            <family val="2"/>
          </rPr>
          <t xml:space="preserve">
Interest LESS MCC Over Period</t>
        </r>
      </text>
    </comment>
    <comment ref="F72" authorId="1">
      <text>
        <r>
          <rPr>
            <b/>
            <sz val="8"/>
            <color indexed="81"/>
            <rFont val="Tahoma"/>
            <family val="2"/>
          </rPr>
          <t>HP Authorized Customer:</t>
        </r>
        <r>
          <rPr>
            <sz val="8"/>
            <color indexed="81"/>
            <rFont val="Tahoma"/>
            <family val="2"/>
          </rPr>
          <t xml:space="preserve">
Default Year start, if needed.  Year entered should not affect any other element of model</t>
        </r>
      </text>
    </comment>
    <comment ref="G72" authorId="1">
      <text>
        <r>
          <rPr>
            <b/>
            <sz val="8"/>
            <color indexed="81"/>
            <rFont val="Tahoma"/>
            <family val="2"/>
          </rPr>
          <t>HP Authorized Customer:</t>
        </r>
        <r>
          <rPr>
            <sz val="8"/>
            <color indexed="81"/>
            <rFont val="Tahoma"/>
            <family val="2"/>
          </rPr>
          <t xml:space="preserve">
# of years of information to show.</t>
        </r>
      </text>
    </comment>
    <comment ref="G74" authorId="1">
      <text>
        <r>
          <rPr>
            <b/>
            <sz val="8"/>
            <color indexed="81"/>
            <rFont val="Tahoma"/>
            <family val="2"/>
          </rPr>
          <t>HP Authorized Customer:</t>
        </r>
        <r>
          <rPr>
            <sz val="8"/>
            <color indexed="81"/>
            <rFont val="Tahoma"/>
            <family val="2"/>
          </rPr>
          <t xml:space="preserve">
"YES" will NOT display the Gross and Net MCC amounts in chart to the right.  If yes is not indicated then the Conditional Format will show DATA in the regular black fonts.</t>
        </r>
      </text>
    </comment>
    <comment ref="D75" authorId="1">
      <text>
        <r>
          <rPr>
            <b/>
            <sz val="8"/>
            <color indexed="81"/>
            <rFont val="Tahoma"/>
            <family val="2"/>
          </rPr>
          <t>HP Authorized Customer:</t>
        </r>
        <r>
          <rPr>
            <sz val="8"/>
            <color indexed="81"/>
            <rFont val="Tahoma"/>
            <family val="2"/>
          </rPr>
          <t xml:space="preserve">
Assumed Tax Brackett</t>
        </r>
      </text>
    </comment>
    <comment ref="E75" authorId="1">
      <text>
        <r>
          <rPr>
            <b/>
            <sz val="8"/>
            <color indexed="81"/>
            <rFont val="Tahoma"/>
            <family val="2"/>
          </rPr>
          <t>HP Authorized Customer:</t>
        </r>
        <r>
          <rPr>
            <sz val="8"/>
            <color indexed="81"/>
            <rFont val="Tahoma"/>
            <family val="2"/>
          </rPr>
          <t xml:space="preserve">
A date entered in this cell along with NO to the right will have the model start the MCC calculation based on a 1st payment month.</t>
        </r>
      </text>
    </comment>
    <comment ref="F75" authorId="1">
      <text>
        <r>
          <rPr>
            <b/>
            <sz val="8"/>
            <color indexed="81"/>
            <rFont val="Tahoma"/>
            <family val="2"/>
          </rPr>
          <t>HP Authorized Customer:</t>
        </r>
        <r>
          <rPr>
            <sz val="8"/>
            <color indexed="81"/>
            <rFont val="Tahoma"/>
            <family val="2"/>
          </rPr>
          <t xml:space="preserve">
YES means that the file assumes YEAR 1 is 12 months; NO indicates the file will use a real start date in Year 1 will correspond to a calendar year.</t>
        </r>
      </text>
    </comment>
    <comment ref="G75" authorId="1">
      <text>
        <r>
          <rPr>
            <b/>
            <sz val="8"/>
            <color indexed="81"/>
            <rFont val="Tahoma"/>
            <family val="2"/>
          </rPr>
          <t>HP Authorized Customer:</t>
        </r>
        <r>
          <rPr>
            <sz val="8"/>
            <color indexed="81"/>
            <rFont val="Tahoma"/>
            <family val="2"/>
          </rPr>
          <t xml:space="preserve">
DHCD MCC Credit Rate</t>
        </r>
      </text>
    </comment>
    <comment ref="G109" authorId="1">
      <text>
        <r>
          <rPr>
            <b/>
            <sz val="8"/>
            <color indexed="81"/>
            <rFont val="Tahoma"/>
            <family val="2"/>
          </rPr>
          <t>HP Authorized Customer:</t>
        </r>
        <r>
          <rPr>
            <sz val="8"/>
            <color indexed="81"/>
            <rFont val="Tahoma"/>
            <family val="2"/>
          </rPr>
          <t xml:space="preserve">
# of Months shown</t>
        </r>
      </text>
    </comment>
    <comment ref="C124" authorId="0">
      <text>
        <r>
          <rPr>
            <b/>
            <sz val="9"/>
            <color indexed="81"/>
            <rFont val="Tahoma"/>
            <family val="2"/>
          </rPr>
          <t>Silver, Steve:</t>
        </r>
        <r>
          <rPr>
            <sz val="9"/>
            <color indexed="81"/>
            <rFont val="Tahoma"/>
            <family val="2"/>
          </rPr>
          <t xml:space="preserve">
% of House Price</t>
        </r>
      </text>
    </comment>
    <comment ref="D124" authorId="0">
      <text>
        <r>
          <rPr>
            <b/>
            <sz val="9"/>
            <color indexed="81"/>
            <rFont val="Tahoma"/>
            <family val="2"/>
          </rPr>
          <t>Silver, Steve:</t>
        </r>
        <r>
          <rPr>
            <sz val="9"/>
            <color indexed="81"/>
            <rFont val="Tahoma"/>
            <family val="2"/>
          </rPr>
          <t xml:space="preserve">
Used to derive Home Value based on mortgage</t>
        </r>
      </text>
    </comment>
    <comment ref="C131" authorId="1">
      <text>
        <r>
          <rPr>
            <b/>
            <sz val="8"/>
            <color indexed="81"/>
            <rFont val="Tahoma"/>
            <family val="2"/>
          </rPr>
          <t>HP Authorized Customer:</t>
        </r>
        <r>
          <rPr>
            <sz val="8"/>
            <color indexed="81"/>
            <rFont val="Tahoma"/>
            <family val="2"/>
          </rPr>
          <t xml:space="preserve">
LTV in Model
</t>
        </r>
      </text>
    </comment>
    <comment ref="C133" authorId="1">
      <text>
        <r>
          <rPr>
            <b/>
            <sz val="8"/>
            <color indexed="81"/>
            <rFont val="Tahoma"/>
            <family val="2"/>
          </rPr>
          <t>HP Authorized Customer:</t>
        </r>
        <r>
          <rPr>
            <sz val="8"/>
            <color indexed="81"/>
            <rFont val="Tahoma"/>
            <family val="2"/>
          </rPr>
          <t xml:space="preserve">
MCC Deducted OUT</t>
        </r>
      </text>
    </comment>
    <comment ref="I137" authorId="0">
      <text>
        <r>
          <rPr>
            <b/>
            <sz val="9"/>
            <color indexed="81"/>
            <rFont val="Tahoma"/>
            <family val="2"/>
          </rPr>
          <t>Silver, Steve:</t>
        </r>
        <r>
          <rPr>
            <sz val="9"/>
            <color indexed="81"/>
            <rFont val="Tahoma"/>
            <family val="2"/>
          </rPr>
          <t xml:space="preserve">
If YES selected it will default to SELECTED Tax Bracket regardless of Income</t>
        </r>
      </text>
    </comment>
    <comment ref="C148" authorId="1">
      <text>
        <r>
          <rPr>
            <b/>
            <sz val="8"/>
            <color indexed="81"/>
            <rFont val="Tahoma"/>
            <family val="2"/>
          </rPr>
          <t>HP Authorized Customer:</t>
        </r>
        <r>
          <rPr>
            <sz val="8"/>
            <color indexed="81"/>
            <rFont val="Tahoma"/>
            <family val="2"/>
          </rPr>
          <t xml:space="preserve">
LTV in Model
</t>
        </r>
      </text>
    </comment>
    <comment ref="C150" authorId="1">
      <text>
        <r>
          <rPr>
            <b/>
            <sz val="8"/>
            <color indexed="81"/>
            <rFont val="Tahoma"/>
            <family val="2"/>
          </rPr>
          <t>HP Authorized Customer:</t>
        </r>
        <r>
          <rPr>
            <sz val="8"/>
            <color indexed="81"/>
            <rFont val="Tahoma"/>
            <family val="2"/>
          </rPr>
          <t xml:space="preserve">
MCC Deducted OUT</t>
        </r>
      </text>
    </comment>
    <comment ref="C151" authorId="1">
      <text>
        <r>
          <rPr>
            <b/>
            <sz val="8"/>
            <color indexed="81"/>
            <rFont val="Tahoma"/>
            <family val="2"/>
          </rPr>
          <t>HP Authorized Customer:</t>
        </r>
        <r>
          <rPr>
            <sz val="8"/>
            <color indexed="81"/>
            <rFont val="Tahoma"/>
            <family val="2"/>
          </rPr>
          <t xml:space="preserve">
MCC NOT Deducted OUT</t>
        </r>
      </text>
    </comment>
    <comment ref="I154" authorId="0">
      <text>
        <r>
          <rPr>
            <b/>
            <sz val="9"/>
            <color indexed="81"/>
            <rFont val="Tahoma"/>
            <family val="2"/>
          </rPr>
          <t>Silver, Steve:</t>
        </r>
        <r>
          <rPr>
            <sz val="9"/>
            <color indexed="81"/>
            <rFont val="Tahoma"/>
            <family val="2"/>
          </rPr>
          <t xml:space="preserve">
If YES selected it will default to SELECTED Tax Bracket regardless of Income</t>
        </r>
      </text>
    </comment>
    <comment ref="C165" authorId="1">
      <text>
        <r>
          <rPr>
            <b/>
            <sz val="8"/>
            <color indexed="81"/>
            <rFont val="Tahoma"/>
            <family val="2"/>
          </rPr>
          <t>HP Authorized Customer:</t>
        </r>
        <r>
          <rPr>
            <sz val="8"/>
            <color indexed="81"/>
            <rFont val="Tahoma"/>
            <family val="2"/>
          </rPr>
          <t xml:space="preserve">
LTV in Model
</t>
        </r>
      </text>
    </comment>
    <comment ref="C167" authorId="1">
      <text>
        <r>
          <rPr>
            <b/>
            <sz val="8"/>
            <color indexed="81"/>
            <rFont val="Tahoma"/>
            <family val="2"/>
          </rPr>
          <t>HP Authorized Customer:</t>
        </r>
        <r>
          <rPr>
            <sz val="8"/>
            <color indexed="81"/>
            <rFont val="Tahoma"/>
            <family val="2"/>
          </rPr>
          <t xml:space="preserve">
MCC Deducted OUT</t>
        </r>
      </text>
    </comment>
    <comment ref="C168" authorId="1">
      <text>
        <r>
          <rPr>
            <b/>
            <sz val="8"/>
            <color indexed="81"/>
            <rFont val="Tahoma"/>
            <family val="2"/>
          </rPr>
          <t>HP Authorized Customer:</t>
        </r>
        <r>
          <rPr>
            <sz val="8"/>
            <color indexed="81"/>
            <rFont val="Tahoma"/>
            <family val="2"/>
          </rPr>
          <t xml:space="preserve">
MCC NOT Deducted OUT</t>
        </r>
      </text>
    </comment>
    <comment ref="I171" authorId="0">
      <text>
        <r>
          <rPr>
            <b/>
            <sz val="9"/>
            <color indexed="81"/>
            <rFont val="Tahoma"/>
            <family val="2"/>
          </rPr>
          <t>Silver, Steve:</t>
        </r>
        <r>
          <rPr>
            <sz val="9"/>
            <color indexed="81"/>
            <rFont val="Tahoma"/>
            <family val="2"/>
          </rPr>
          <t xml:space="preserve">
If YES selected it will default to SELECTED Tax Bracket regardless of Income</t>
        </r>
      </text>
    </comment>
    <comment ref="G187" authorId="0">
      <text>
        <r>
          <rPr>
            <b/>
            <sz val="9"/>
            <color indexed="81"/>
            <rFont val="Tahoma"/>
            <family val="2"/>
          </rPr>
          <t>Silver, Steve:</t>
        </r>
        <r>
          <rPr>
            <sz val="9"/>
            <color indexed="81"/>
            <rFont val="Tahoma"/>
            <family val="2"/>
          </rPr>
          <t xml:space="preserve">
This is rate used in overall model; if YES to left then it may be different than Actual Incremental Tax Rate Below</t>
        </r>
      </text>
    </comment>
    <comment ref="I190" authorId="0">
      <text>
        <r>
          <rPr>
            <b/>
            <sz val="9"/>
            <color indexed="81"/>
            <rFont val="Tahoma"/>
            <family val="2"/>
          </rPr>
          <t>Silver, Steve:</t>
        </r>
        <r>
          <rPr>
            <sz val="9"/>
            <color indexed="81"/>
            <rFont val="Tahoma"/>
            <family val="2"/>
          </rPr>
          <t xml:space="preserve">
If YES selected it will default to SELECTED Tax Bracket regardless of Income</t>
        </r>
      </text>
    </comment>
    <comment ref="J190" authorId="0">
      <text>
        <r>
          <rPr>
            <b/>
            <sz val="9"/>
            <color indexed="81"/>
            <rFont val="Tahoma"/>
            <family val="2"/>
          </rPr>
          <t>Silver, Steve:</t>
        </r>
        <r>
          <rPr>
            <sz val="9"/>
            <color indexed="81"/>
            <rFont val="Tahoma"/>
            <family val="2"/>
          </rPr>
          <t xml:space="preserve">
This is rate used in overall model; if YES to left then it may be different than Actual Incremental Tax Rate Below</t>
        </r>
      </text>
    </comment>
    <comment ref="J196" authorId="0">
      <text>
        <r>
          <rPr>
            <b/>
            <sz val="9"/>
            <color indexed="81"/>
            <rFont val="Tahoma"/>
            <family val="2"/>
          </rPr>
          <t>Silver, Steve:</t>
        </r>
        <r>
          <rPr>
            <sz val="9"/>
            <color indexed="81"/>
            <rFont val="Tahoma"/>
            <family val="2"/>
          </rPr>
          <t xml:space="preserve">
This is the actual estimated tax rate for this scenario; it may different than the overall model if YES to left.</t>
        </r>
      </text>
    </comment>
    <comment ref="C202" authorId="0">
      <text>
        <r>
          <rPr>
            <b/>
            <sz val="9"/>
            <color indexed="81"/>
            <rFont val="Tahoma"/>
            <family val="2"/>
          </rPr>
          <t>Silver, Steve:</t>
        </r>
        <r>
          <rPr>
            <sz val="9"/>
            <color indexed="81"/>
            <rFont val="Tahoma"/>
            <family val="2"/>
          </rPr>
          <t xml:space="preserve">
% of House Price</t>
        </r>
      </text>
    </comment>
    <comment ref="D202" authorId="0">
      <text>
        <r>
          <rPr>
            <b/>
            <sz val="9"/>
            <color indexed="81"/>
            <rFont val="Tahoma"/>
            <family val="2"/>
          </rPr>
          <t>Silver, Steve:</t>
        </r>
        <r>
          <rPr>
            <sz val="9"/>
            <color indexed="81"/>
            <rFont val="Tahoma"/>
            <family val="2"/>
          </rPr>
          <t xml:space="preserve">
Used to derive Home Value based on mortgage</t>
        </r>
      </text>
    </comment>
    <comment ref="C204" authorId="1">
      <text>
        <r>
          <rPr>
            <b/>
            <sz val="8"/>
            <color indexed="81"/>
            <rFont val="Tahoma"/>
            <family val="2"/>
          </rPr>
          <t>HP Authorized Customer:</t>
        </r>
        <r>
          <rPr>
            <sz val="8"/>
            <color indexed="81"/>
            <rFont val="Tahoma"/>
            <family val="2"/>
          </rPr>
          <t xml:space="preserve">
LTV in Model
</t>
        </r>
      </text>
    </comment>
    <comment ref="G206" authorId="1">
      <text>
        <r>
          <rPr>
            <b/>
            <sz val="8"/>
            <color indexed="81"/>
            <rFont val="Tahoma"/>
            <family val="2"/>
          </rPr>
          <t>HP Authorized Customer:</t>
        </r>
        <r>
          <rPr>
            <sz val="8"/>
            <color indexed="81"/>
            <rFont val="Tahoma"/>
            <family val="2"/>
          </rPr>
          <t xml:space="preserve">
Total Itemized Deductions in YEAR 1</t>
        </r>
      </text>
    </comment>
    <comment ref="Z206" authorId="1">
      <text>
        <r>
          <rPr>
            <b/>
            <sz val="8"/>
            <color indexed="81"/>
            <rFont val="Tahoma"/>
            <family val="2"/>
          </rPr>
          <t>HP Authorized Customer:</t>
        </r>
        <r>
          <rPr>
            <sz val="8"/>
            <color indexed="81"/>
            <rFont val="Tahoma"/>
            <family val="2"/>
          </rPr>
          <t xml:space="preserve">
Total Itemized Deductions in YEAR 1</t>
        </r>
      </text>
    </comment>
    <comment ref="I210" authorId="0">
      <text>
        <r>
          <rPr>
            <b/>
            <sz val="9"/>
            <color indexed="81"/>
            <rFont val="Tahoma"/>
            <family val="2"/>
          </rPr>
          <t>Silver, Steve:</t>
        </r>
        <r>
          <rPr>
            <sz val="9"/>
            <color indexed="81"/>
            <rFont val="Tahoma"/>
            <family val="2"/>
          </rPr>
          <t xml:space="preserve">
If YES selected it will default to SELECTED Tax Bracket regardless of Income</t>
        </r>
      </text>
    </comment>
    <comment ref="E222" authorId="1">
      <text>
        <r>
          <rPr>
            <b/>
            <sz val="8"/>
            <color indexed="81"/>
            <rFont val="Tahoma"/>
            <family val="2"/>
          </rPr>
          <t>HP Authorized Customer:</t>
        </r>
        <r>
          <rPr>
            <sz val="8"/>
            <color indexed="81"/>
            <rFont val="Tahoma"/>
            <family val="2"/>
          </rPr>
          <t xml:space="preserve">
A date entered in this cell along with NO to the right will have the model start the MCC calculation based on a 1st payment month.</t>
        </r>
      </text>
    </comment>
    <comment ref="F222" authorId="1">
      <text>
        <r>
          <rPr>
            <b/>
            <sz val="8"/>
            <color indexed="81"/>
            <rFont val="Tahoma"/>
            <family val="2"/>
          </rPr>
          <t>HP Authorized Customer:</t>
        </r>
        <r>
          <rPr>
            <sz val="8"/>
            <color indexed="81"/>
            <rFont val="Tahoma"/>
            <family val="2"/>
          </rPr>
          <t xml:space="preserve">
YES means that the file assumes YEAR 1 is 12 months; NO indicates the file will use a real start date in Year 1 will correspond to a calendar year.</t>
        </r>
      </text>
    </comment>
    <comment ref="I266" authorId="1">
      <text>
        <r>
          <rPr>
            <b/>
            <sz val="8"/>
            <color indexed="81"/>
            <rFont val="Tahoma"/>
            <family val="2"/>
          </rPr>
          <t>HP Authorized Customer:</t>
        </r>
        <r>
          <rPr>
            <sz val="8"/>
            <color indexed="81"/>
            <rFont val="Tahoma"/>
            <family val="2"/>
          </rPr>
          <t xml:space="preserve">
Total Payments for Period CHECK</t>
        </r>
      </text>
    </comment>
    <comment ref="G267" authorId="1">
      <text>
        <r>
          <rPr>
            <b/>
            <sz val="8"/>
            <color indexed="81"/>
            <rFont val="Tahoma"/>
            <family val="2"/>
          </rPr>
          <t>HP Authorized Customer:</t>
        </r>
        <r>
          <rPr>
            <sz val="8"/>
            <color indexed="81"/>
            <rFont val="Tahoma"/>
            <family val="2"/>
          </rPr>
          <t xml:space="preserve">
Number of Months in Period Calculation</t>
        </r>
      </text>
    </comment>
    <comment ref="I267" authorId="1">
      <text>
        <r>
          <rPr>
            <b/>
            <sz val="8"/>
            <color indexed="81"/>
            <rFont val="Tahoma"/>
            <family val="2"/>
          </rPr>
          <t>HP Authorized Customer:</t>
        </r>
        <r>
          <rPr>
            <sz val="8"/>
            <color indexed="81"/>
            <rFont val="Tahoma"/>
            <family val="2"/>
          </rPr>
          <t xml:space="preserve">
Period Principal Paid CHECK</t>
        </r>
      </text>
    </comment>
    <comment ref="I268" authorId="1">
      <text>
        <r>
          <rPr>
            <b/>
            <sz val="8"/>
            <color indexed="81"/>
            <rFont val="Tahoma"/>
            <family val="2"/>
          </rPr>
          <t>HP Authorized Customer:</t>
        </r>
        <r>
          <rPr>
            <sz val="8"/>
            <color indexed="81"/>
            <rFont val="Tahoma"/>
            <family val="2"/>
          </rPr>
          <t xml:space="preserve">
Period Interest Paid CHECK</t>
        </r>
      </text>
    </comment>
  </commentList>
</comments>
</file>

<file path=xl/sharedStrings.xml><?xml version="1.0" encoding="utf-8"?>
<sst xmlns="http://schemas.openxmlformats.org/spreadsheetml/2006/main" count="262" uniqueCount="156">
  <si>
    <t>Net</t>
  </si>
  <si>
    <t>Single</t>
  </si>
  <si>
    <t>Interest Rate</t>
  </si>
  <si>
    <t>Down Payment Requirement</t>
  </si>
  <si>
    <t>House Price</t>
  </si>
  <si>
    <t>Upfront MIP  Premium</t>
  </si>
  <si>
    <t>Down Payment</t>
  </si>
  <si>
    <t>Annual MIP</t>
  </si>
  <si>
    <t>Amount Single MIP Applied To</t>
  </si>
  <si>
    <t>MIP Type</t>
  </si>
  <si>
    <t>Upfront MIP</t>
  </si>
  <si>
    <t>FHA Mortgage</t>
  </si>
  <si>
    <t>FHA</t>
  </si>
  <si>
    <t>Final 1st Mortgage Amount</t>
  </si>
  <si>
    <t>95% LTV Conventional</t>
  </si>
  <si>
    <t>MI - 95%</t>
  </si>
  <si>
    <t>Mortgage Check</t>
  </si>
  <si>
    <t>97% LTV Conventional</t>
  </si>
  <si>
    <t>Monthly</t>
  </si>
  <si>
    <t>MI - 97%</t>
  </si>
  <si>
    <t>Annual MIP Renewal</t>
  </si>
  <si>
    <r>
      <t xml:space="preserve">Higher Interest Rate </t>
    </r>
    <r>
      <rPr>
        <i/>
        <sz val="12"/>
        <color indexed="8"/>
        <rFont val="Calibri"/>
        <family val="2"/>
      </rPr>
      <t>(higher interest rates means potentially more of the MCC can be claimed -- up to $2,000)</t>
    </r>
  </si>
  <si>
    <t>PLUS</t>
  </si>
  <si>
    <r>
      <t>Higher Mortgage Amount</t>
    </r>
    <r>
      <rPr>
        <i/>
        <sz val="12"/>
        <color indexed="8"/>
        <rFont val="Calibri"/>
        <family val="2"/>
      </rPr>
      <t xml:space="preserve"> (higher mortgage amounts translates into less homeowners served)</t>
    </r>
  </si>
  <si>
    <r>
      <t>Higher Credit Rate</t>
    </r>
    <r>
      <rPr>
        <b/>
        <i/>
        <sz val="12"/>
        <color indexed="8"/>
        <rFont val="Calibri"/>
        <family val="2"/>
      </rPr>
      <t xml:space="preserve"> </t>
    </r>
    <r>
      <rPr>
        <i/>
        <sz val="12"/>
        <color indexed="8"/>
        <rFont val="Calibri"/>
        <family val="2"/>
      </rPr>
      <t>(higher credit rates translates into less homeowners served or more cap used)</t>
    </r>
  </si>
  <si>
    <t>Equals</t>
  </si>
  <si>
    <r>
      <t xml:space="preserve">Maximum Savings to Borrower </t>
    </r>
    <r>
      <rPr>
        <b/>
        <i/>
        <sz val="12"/>
        <color indexed="8"/>
        <rFont val="Calibri"/>
        <family val="2"/>
      </rPr>
      <t>(up to $2,000 per year MCC; maximum tax savings of $1,500 is anticipated)</t>
    </r>
  </si>
  <si>
    <t>MMP Loan Type</t>
  </si>
  <si>
    <t>Use Drop down box if this a Maryland Mortgage Program (MMP) loan.  If not, leave the mortgage type blank.</t>
  </si>
  <si>
    <t>Mortgage Interest Rate</t>
  </si>
  <si>
    <t>1st Mortgage Amount</t>
  </si>
  <si>
    <t>Enter the expected First Mortgage amount</t>
  </si>
  <si>
    <t>NO</t>
  </si>
  <si>
    <t>MCC Fee</t>
  </si>
  <si>
    <t>1st Mortgage Payment Date</t>
  </si>
  <si>
    <t>Enter the expected First Payment Date on First Mortgage; No entry will default to the beginning of the calendar year.</t>
  </si>
  <si>
    <t>Calculated Home Price</t>
  </si>
  <si>
    <t>This is a calculated field; that is hidden in model.  Use to derive LTV and PITI</t>
  </si>
  <si>
    <t>Derived Loan-to-Value (LTV)</t>
  </si>
  <si>
    <t xml:space="preserve">This is a calculated field; that is hidden in model. </t>
  </si>
  <si>
    <t>Married</t>
  </si>
  <si>
    <t>This is used for calculating the more complex "NET" benefit estimates.  The amount is a default in spreadsheet.</t>
  </si>
  <si>
    <t>Assumed Federal Tax Bracket
(with MCC)</t>
  </si>
  <si>
    <t>MMP Interest Rate</t>
  </si>
  <si>
    <t>This is the interest rate used in Model; in case none is entered above</t>
  </si>
  <si>
    <t>Monthly Principal &amp; Interest Payments</t>
  </si>
  <si>
    <t>This is a calculated field in Model based mortgage amount and interest rate entered</t>
  </si>
  <si>
    <t>MCC Credit Rate Applied to the Eligible Mortgage</t>
  </si>
  <si>
    <t>This is the MCC Credit Rate being used by the MD Department of Housing and Community Development (DHCD) ; it is a default in Model.  All loans must use this MCC Rate.</t>
  </si>
  <si>
    <t>Monthly Mortgage Insurance Premium (MIP)</t>
  </si>
  <si>
    <t>This is a calculated field that can be used for MMP loans only; it is hidden in Model.</t>
  </si>
  <si>
    <t>Taxes &amp; Insurance %</t>
  </si>
  <si>
    <t>Total Mortgage Payment</t>
  </si>
  <si>
    <t>Est Monthly PITI with Taxes &amp; Hazard Insurance</t>
  </si>
  <si>
    <t>Calculated DTI Ratio</t>
  </si>
  <si>
    <t>1st payment Date</t>
  </si>
  <si>
    <t>Year 1 = 
12 months</t>
  </si>
  <si>
    <t>Estimated Overall Homeowner Tax Advantage (Net Benefit)</t>
  </si>
  <si>
    <t>Princ Over Life of Loan</t>
  </si>
  <si>
    <t>Interest LESS MCC Over Life of Loan</t>
  </si>
  <si>
    <t>Total Payments Over Life of Loan</t>
  </si>
  <si>
    <t>YES</t>
  </si>
  <si>
    <t>NET MCC LANGUAGE</t>
  </si>
  <si>
    <t>GROSS MCC LANGUAGE</t>
  </si>
  <si>
    <t>NOTE: The Homeowner will be able to claim the Mortgage Credit Certificate (MCC) for the life of the mortgage.</t>
  </si>
  <si>
    <t xml:space="preserve">The calculations shown are for illustrative purposes only.  All calculations are estimates based on the expected amortization schedule and the actual benefits could change dependent on several factors, including the duration of the mortgage and principal prepayments. </t>
  </si>
  <si>
    <t>While the MCC will always provide a positive federal tax result (i.e., the homeowner will have an overall lower annual tax liability), depending on the borrower's individual tax situation, the annual MCC could reduce the itemized deductions for interest paid equal to the MCC amount.</t>
  </si>
  <si>
    <t>The estimated "Gross MCC Tax Benefit" amount is the actual expected Federal Tax Credit that can be claimed on the homeowner's tax return;  tax law limits this amount to $2,000 annually.  The estimated "Net MCC Tax Benefit" shows the Federal Tax Credit less the impact of potentially losing some mortgage interest deductions.</t>
  </si>
  <si>
    <t>The Federal Tax Credit amounts shown reflects the amount the homeowner can claim as an annual tax credit on their federal tax return based on the actual interest paid in the respective tax year (up to $2,000).</t>
  </si>
  <si>
    <t>Please consult with your tax advisor for additional explanations.  Below are some specific assumptions used in the above calculations.</t>
  </si>
  <si>
    <t>The numbers shown reflect a 30-year amortizing loan with a mortgage interest rate of 4.500%.</t>
  </si>
  <si>
    <t>o</t>
  </si>
  <si>
    <t>The estimated "Gross MCC Tax Benefit" amount is the actual expected Federal Tax Credit that can be claimed on the homeowner's tax return.</t>
  </si>
  <si>
    <t xml:space="preserve">The estimated "Net MCC Tax Benefit" shows the Federal Tax Credit less the impact of potentially losing some mortgage interest deductions. </t>
  </si>
  <si>
    <t>For purposes of deriving the Net MMC Tax Benefit; a 25% Federal tax bracket has been assumed (the Net Benefit is 75% of the Tax Credit).</t>
  </si>
  <si>
    <t>The calculations do not take into account the effect of points or fees charged to the Homebuyer in connection with the origination of the mortgage.</t>
  </si>
  <si>
    <t xml:space="preserve">The calculations assume the Homebuyer owns and occupies the residence throughout the term of the mortgage.  A sale or other disposition will terminate the right to future credits and, if it occurs within the nine years after purchase, may trigger a "recapture tax" in which a formula amount is added to the Homebuyer's tax liability to recapture the benefit of the MCCs.  The formula amount of additional tax may, in certain circumstances, exceed the net benefit of the MCCs.  See Recapture Tax Notice provided by the Lender.  NOTE: The practice of CDA has been to reimburse borrowers for the recapture tax on sales of residences that were financed through its Maryland Mortgage Program. </t>
  </si>
  <si>
    <t>Gross</t>
  </si>
  <si>
    <t>Detailed Breakdown of Estimated Mortgage Interest and MCC Benefits</t>
  </si>
  <si>
    <t/>
  </si>
  <si>
    <t>Scheduled Interest 
to be Paid</t>
  </si>
  <si>
    <t>$ Tax Credit</t>
  </si>
  <si>
    <t>% of Int</t>
  </si>
  <si>
    <t>Totals for Period Selected</t>
  </si>
  <si>
    <t xml:space="preserve">Total % of Scheduled Interest Paid </t>
  </si>
  <si>
    <t>MCC Limit</t>
  </si>
  <si>
    <t>MCC Rate Limit Applies To</t>
  </si>
  <si>
    <t>Detailed Analysis of MCC Calculations</t>
  </si>
  <si>
    <t>Federal Taxable Income Assumptions</t>
  </si>
  <si>
    <t>w MCC</t>
  </si>
  <si>
    <t>w/o MCC</t>
  </si>
  <si>
    <t>State Taxes</t>
  </si>
  <si>
    <t>Pre-tax Retire</t>
  </si>
  <si>
    <t>Other Item</t>
  </si>
  <si>
    <t>Fed Exempt</t>
  </si>
  <si>
    <t># of Exempt</t>
  </si>
  <si>
    <t>Mortgage Amount</t>
  </si>
  <si>
    <t>Prop Taxes</t>
  </si>
  <si>
    <t>LTV</t>
  </si>
  <si>
    <t>State Exempt</t>
  </si>
  <si>
    <t>Fed Stand Ded - Sin</t>
  </si>
  <si>
    <t>Loan Term</t>
  </si>
  <si>
    <t>Monthly Payment</t>
  </si>
  <si>
    <t>Annual Payment</t>
  </si>
  <si>
    <t>Credit Rate</t>
  </si>
  <si>
    <t>Eligible Credit Amount</t>
  </si>
  <si>
    <t>Borrower Gross Income</t>
  </si>
  <si>
    <t>Mort Interest</t>
  </si>
  <si>
    <t>Other</t>
  </si>
  <si>
    <t>State Inc Tax</t>
  </si>
  <si>
    <t>Total Item</t>
  </si>
  <si>
    <t>Pre-tax Deductions</t>
  </si>
  <si>
    <t>Adjusted Gross Income</t>
  </si>
  <si>
    <t>Federal Tax Exemption</t>
  </si>
  <si>
    <t>2013 SINGLE Federal Tax Table Rates</t>
  </si>
  <si>
    <t>Itemized/Standard Deductions</t>
  </si>
  <si>
    <t>Federal Taxable Income</t>
  </si>
  <si>
    <t>Incremental Federal Tax Bracket</t>
  </si>
  <si>
    <t>2013 MARRIED Federal Tax Table Rates</t>
  </si>
  <si>
    <t>MCC Credit</t>
  </si>
  <si>
    <t>Total Tax Liability</t>
  </si>
  <si>
    <t>MCC Annual Savings</t>
  </si>
  <si>
    <t>MCC Monthly Savings</t>
  </si>
  <si>
    <t>Actual Tax Rate Used in Above</t>
  </si>
  <si>
    <t>Taxable Income Assumptions</t>
  </si>
  <si>
    <t>Gross Income</t>
  </si>
  <si>
    <t>Pre-tax Deduction</t>
  </si>
  <si>
    <t>AGI</t>
  </si>
  <si>
    <t>Itemized Deductions</t>
  </si>
  <si>
    <t>Interest</t>
  </si>
  <si>
    <t>Property Taxes</t>
  </si>
  <si>
    <t>Other Itemized Deductions</t>
  </si>
  <si>
    <t>Total Itemized Deductions or Standard Ded</t>
  </si>
  <si>
    <t>Federal Exemption</t>
  </si>
  <si>
    <t>MCC Savings</t>
  </si>
  <si>
    <t>Check</t>
  </si>
  <si>
    <t>Stand Ded</t>
  </si>
  <si>
    <t>Itemized</t>
  </si>
  <si>
    <t>Tax Rate ==&gt;</t>
  </si>
  <si>
    <t>MCC Rate ==&gt;</t>
  </si>
  <si>
    <t>Scenario 1</t>
  </si>
  <si>
    <t>Scenario 2</t>
  </si>
  <si>
    <t>Interest PAID</t>
  </si>
  <si>
    <t>Possible Item Ded</t>
  </si>
  <si>
    <t>Annual Income</t>
  </si>
  <si>
    <t>Item/Stand</t>
  </si>
  <si>
    <t>Total</t>
  </si>
  <si>
    <t>Net "Interest Paid"</t>
  </si>
  <si>
    <t>Totals</t>
  </si>
  <si>
    <t>Total "Payments" Made on Mort</t>
  </si>
  <si>
    <t>Principal</t>
  </si>
  <si>
    <r>
      <t xml:space="preserve">Enter Mortgage Interest Rate (preferred)
</t>
    </r>
    <r>
      <rPr>
        <b/>
        <sz val="8"/>
        <color indexed="12"/>
        <rFont val="Calibri"/>
        <family val="2"/>
      </rPr>
      <t>(if this is a MMP Loan and a loan type is entered above; the rate can be blank and spreadsheet will default to a rate)</t>
    </r>
  </si>
  <si>
    <t>Net Expected Federal MCC 
Tax Benefit</t>
  </si>
  <si>
    <t>MCC Federal 
Tax Credit Benefit</t>
  </si>
  <si>
    <t>Mortgage Credit Certificate (MCC): Homeowner Benefit Schedule</t>
  </si>
  <si>
    <t>Maryland HomeCredit</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</si>
</sst>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6" formatCode="&quot;$&quot;#,##0_);[Red]\(&quot;$&quot;#,##0\)"/>
    <numFmt numFmtId="7" formatCode="&quot;$&quot;#,##0.00_);\(&quot;$&quot;#,##0.00\)"/>
    <numFmt numFmtId="8" formatCode="&quot;$&quot;#,##0.00_);[Red]\(&quot;$&quot;#,##0.00\)"/>
    <numFmt numFmtId="164" formatCode="&quot;Year &quot;0"/>
    <numFmt numFmtId="165" formatCode="0&quot; Months&quot;"/>
    <numFmt numFmtId="166" formatCode="0.000%"/>
    <numFmt numFmtId="167" formatCode="&quot;$&quot;#,##0.0000_);\(&quot;$&quot;#,##0.0000\)"/>
    <numFmt numFmtId="168" formatCode="&quot;$&quot;#,##0"/>
    <numFmt numFmtId="169" formatCode="mm/dd/yy;@"/>
    <numFmt numFmtId="170" formatCode="&quot;$&quot;#,##0.00"/>
    <numFmt numFmtId="171" formatCode="&quot;Month &quot;0"/>
    <numFmt numFmtId="172" formatCode="0.00%&quot; &quot;"/>
    <numFmt numFmtId="173" formatCode="0.0000%"/>
    <numFmt numFmtId="174" formatCode="0&quot; years&quot;"/>
    <numFmt numFmtId="175" formatCode="&quot;$&quot;#,##0.00&quot;  &quot;"/>
    <numFmt numFmtId="176" formatCode="0%&quot; &quot;"/>
    <numFmt numFmtId="177" formatCode="0&quot; months&quot;"/>
    <numFmt numFmtId="178" formatCode="&quot;$&quot;#,##0.0_);\(&quot;$&quot;#,##0.0\)"/>
  </numFmts>
  <fonts count="138"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6"/>
      <color rgb="FF808080"/>
      <name val="Calibri"/>
      <family val="2"/>
      <scheme val="minor"/>
    </font>
    <font>
      <sz val="11"/>
      <color rgb="FF808080"/>
      <name val="Calibri"/>
      <family val="2"/>
      <scheme val="minor"/>
    </font>
    <font>
      <b/>
      <sz val="9"/>
      <color rgb="FF808080"/>
      <name val="Calibri"/>
      <family val="2"/>
    </font>
    <font>
      <b/>
      <sz val="10"/>
      <color rgb="FF808080"/>
      <name val="Calibri"/>
      <family val="2"/>
    </font>
    <font>
      <b/>
      <sz val="8"/>
      <color rgb="FF808080"/>
      <name val="Calibri"/>
      <family val="2"/>
    </font>
    <font>
      <b/>
      <sz val="11"/>
      <color rgb="FF808080"/>
      <name val="Calibri"/>
      <family val="2"/>
    </font>
    <font>
      <b/>
      <sz val="12"/>
      <color rgb="FF808080"/>
      <name val="Calibri"/>
      <family val="2"/>
    </font>
    <font>
      <sz val="10"/>
      <color indexed="8"/>
      <name val="Calibri"/>
      <family val="2"/>
    </font>
    <font>
      <b/>
      <u/>
      <sz val="8"/>
      <color indexed="8"/>
      <name val="Calibri"/>
      <family val="2"/>
    </font>
    <font>
      <b/>
      <sz val="14"/>
      <color indexed="12"/>
      <name val="Calibri"/>
      <family val="2"/>
    </font>
    <font>
      <b/>
      <u/>
      <sz val="11"/>
      <color rgb="FF0000FF"/>
      <name val="Calibri"/>
      <family val="2"/>
    </font>
    <font>
      <b/>
      <sz val="11"/>
      <color rgb="FF0000FF"/>
      <name val="Calibri"/>
      <family val="2"/>
    </font>
    <font>
      <sz val="11"/>
      <color rgb="FF0000FF"/>
      <name val="Calibri"/>
      <family val="2"/>
      <scheme val="minor"/>
    </font>
    <font>
      <b/>
      <sz val="12"/>
      <color rgb="FF0000FF"/>
      <name val="Calibri"/>
      <family val="2"/>
    </font>
    <font>
      <b/>
      <sz val="12"/>
      <color rgb="FF990000"/>
      <name val="Calibri"/>
      <family val="2"/>
      <scheme val="minor"/>
    </font>
    <font>
      <sz val="9"/>
      <color indexed="8"/>
      <name val="Calibri"/>
      <family val="2"/>
    </font>
    <font>
      <b/>
      <sz val="14"/>
      <color indexed="16"/>
      <name val="Calibri"/>
      <family val="2"/>
    </font>
    <font>
      <sz val="14"/>
      <color indexed="16"/>
      <name val="Calibri"/>
      <family val="2"/>
    </font>
    <font>
      <b/>
      <sz val="28"/>
      <color indexed="8"/>
      <name val="Calibri"/>
      <family val="2"/>
    </font>
    <font>
      <b/>
      <sz val="26"/>
      <color indexed="8"/>
      <name val="Calibri"/>
      <family val="2"/>
    </font>
    <font>
      <sz val="26"/>
      <color theme="1"/>
      <name val="Calibri"/>
      <family val="2"/>
      <scheme val="minor"/>
    </font>
    <font>
      <b/>
      <sz val="11"/>
      <color indexed="56"/>
      <name val="Calibri"/>
      <family val="2"/>
    </font>
    <font>
      <b/>
      <sz val="9"/>
      <color indexed="16"/>
      <name val="Calibri"/>
      <family val="2"/>
    </font>
    <font>
      <b/>
      <sz val="22"/>
      <color indexed="8"/>
      <name val="Calibri"/>
      <family val="2"/>
    </font>
    <font>
      <sz val="11"/>
      <color indexed="8"/>
      <name val="Calibri"/>
      <family val="2"/>
    </font>
    <font>
      <b/>
      <sz val="11"/>
      <color indexed="16"/>
      <name val="Calibri"/>
      <family val="2"/>
    </font>
    <font>
      <b/>
      <sz val="24"/>
      <color indexed="8"/>
      <name val="Calibri"/>
      <family val="2"/>
    </font>
    <font>
      <sz val="22"/>
      <color indexed="8"/>
      <name val="Calibri"/>
      <family val="2"/>
    </font>
    <font>
      <b/>
      <sz val="18"/>
      <color indexed="8"/>
      <name val="Calibri"/>
      <family val="2"/>
    </font>
    <font>
      <i/>
      <sz val="12"/>
      <color indexed="8"/>
      <name val="Calibri"/>
      <family val="2"/>
    </font>
    <font>
      <b/>
      <sz val="16"/>
      <color indexed="8"/>
      <name val="Calibri"/>
      <family val="2"/>
    </font>
    <font>
      <sz val="18"/>
      <color indexed="8"/>
      <name val="Calibri"/>
      <family val="2"/>
    </font>
    <font>
      <b/>
      <i/>
      <sz val="14"/>
      <color indexed="8"/>
      <name val="Calibri"/>
      <family val="2"/>
    </font>
    <font>
      <b/>
      <i/>
      <sz val="12"/>
      <color indexed="8"/>
      <name val="Calibri"/>
      <family val="2"/>
    </font>
    <font>
      <b/>
      <sz val="20"/>
      <color indexed="8"/>
      <name val="Calibri"/>
      <family val="2"/>
    </font>
    <font>
      <b/>
      <sz val="12"/>
      <color indexed="16"/>
      <name val="Calibri"/>
      <family val="2"/>
    </font>
    <font>
      <sz val="48"/>
      <color theme="0"/>
      <name val="Calibri"/>
      <family val="2"/>
    </font>
    <font>
      <b/>
      <sz val="36"/>
      <color indexed="12"/>
      <name val="Calibri"/>
      <family val="2"/>
    </font>
    <font>
      <sz val="36"/>
      <color indexed="12"/>
      <name val="Calibri"/>
      <family val="2"/>
    </font>
    <font>
      <b/>
      <sz val="11"/>
      <color indexed="12"/>
      <name val="Calibri"/>
      <family val="2"/>
    </font>
    <font>
      <sz val="11"/>
      <color indexed="12"/>
      <name val="Calibri"/>
      <family val="2"/>
    </font>
    <font>
      <b/>
      <sz val="36"/>
      <color rgb="FF0000FF"/>
      <name val="Calibri"/>
      <family val="2"/>
    </font>
    <font>
      <sz val="36"/>
      <color rgb="FF0000FF"/>
      <name val="Calibri"/>
      <family val="2"/>
    </font>
    <font>
      <b/>
      <sz val="12"/>
      <color indexed="8"/>
      <name val="Calibri"/>
      <family val="2"/>
    </font>
    <font>
      <b/>
      <sz val="16"/>
      <color indexed="12"/>
      <name val="Calibri"/>
      <family val="2"/>
    </font>
    <font>
      <sz val="24"/>
      <color indexed="8"/>
      <name val="Calibri"/>
      <family val="2"/>
    </font>
    <font>
      <b/>
      <sz val="10"/>
      <color theme="1"/>
      <name val="Calibri"/>
      <family val="2"/>
    </font>
    <font>
      <sz val="10"/>
      <color theme="1"/>
      <name val="Calibri"/>
      <family val="2"/>
    </font>
    <font>
      <b/>
      <sz val="14"/>
      <color indexed="8"/>
      <name val="Calibri"/>
      <family val="2"/>
    </font>
    <font>
      <b/>
      <sz val="12"/>
      <color indexed="12"/>
      <name val="Calibri"/>
      <family val="2"/>
    </font>
    <font>
      <b/>
      <sz val="24"/>
      <color indexed="16"/>
      <name val="Calibri"/>
      <family val="2"/>
    </font>
    <font>
      <b/>
      <sz val="14"/>
      <color rgb="FF0000FF"/>
      <name val="Calibri"/>
      <family val="2"/>
    </font>
    <font>
      <sz val="12"/>
      <color theme="0"/>
      <name val="Calibri"/>
      <family val="2"/>
    </font>
    <font>
      <b/>
      <sz val="36"/>
      <color indexed="8"/>
      <name val="Calibri"/>
      <family val="2"/>
    </font>
    <font>
      <b/>
      <sz val="11"/>
      <color theme="1"/>
      <name val="Calibri"/>
      <family val="2"/>
    </font>
    <font>
      <sz val="11"/>
      <color theme="1"/>
      <name val="Calibri"/>
      <family val="2"/>
    </font>
    <font>
      <b/>
      <sz val="36"/>
      <color indexed="16"/>
      <name val="Calibri"/>
      <family val="2"/>
    </font>
    <font>
      <sz val="36"/>
      <color indexed="8"/>
      <name val="Calibri"/>
      <family val="2"/>
    </font>
    <font>
      <sz val="30"/>
      <color theme="0"/>
      <name val="Calibri"/>
      <family val="2"/>
    </font>
    <font>
      <sz val="36"/>
      <color theme="0"/>
      <name val="Calibri"/>
      <family val="2"/>
    </font>
    <font>
      <b/>
      <sz val="10"/>
      <color indexed="8"/>
      <name val="Calibri"/>
      <family val="2"/>
    </font>
    <font>
      <b/>
      <sz val="11"/>
      <color rgb="FFC00000"/>
      <name val="Calibri"/>
      <family val="2"/>
    </font>
    <font>
      <sz val="32"/>
      <color theme="0"/>
      <name val="Calibri"/>
      <family val="2"/>
    </font>
    <font>
      <sz val="14"/>
      <color indexed="8"/>
      <name val="Calibri"/>
      <family val="2"/>
    </font>
    <font>
      <b/>
      <sz val="11"/>
      <color rgb="FFC00000"/>
      <name val="Calibri"/>
      <family val="2"/>
      <scheme val="minor"/>
    </font>
    <font>
      <b/>
      <sz val="14"/>
      <color rgb="FF990000"/>
      <name val="Calibri"/>
      <family val="2"/>
    </font>
    <font>
      <sz val="24"/>
      <color theme="1"/>
      <name val="Calibri"/>
      <family val="2"/>
      <scheme val="minor"/>
    </font>
    <font>
      <sz val="10"/>
      <color rgb="FF990000"/>
      <name val="Calibri"/>
      <family val="2"/>
    </font>
    <font>
      <b/>
      <sz val="12"/>
      <color rgb="FF990000"/>
      <name val="Calibri"/>
      <family val="2"/>
    </font>
    <font>
      <b/>
      <sz val="11"/>
      <color indexed="61"/>
      <name val="Calibri"/>
      <family val="2"/>
    </font>
    <font>
      <sz val="9"/>
      <color theme="1"/>
      <name val="Calibri"/>
      <family val="2"/>
      <scheme val="minor"/>
    </font>
    <font>
      <b/>
      <sz val="12"/>
      <color rgb="FFC00000"/>
      <name val="Calibri"/>
      <family val="2"/>
    </font>
    <font>
      <sz val="8"/>
      <color theme="1"/>
      <name val="Calibri"/>
      <family val="2"/>
      <scheme val="minor"/>
    </font>
    <font>
      <sz val="8"/>
      <color indexed="8"/>
      <name val="Calibri"/>
      <family val="2"/>
    </font>
    <font>
      <sz val="8"/>
      <color theme="0"/>
      <name val="Calibri"/>
      <family val="2"/>
    </font>
    <font>
      <sz val="28"/>
      <color theme="0"/>
      <name val="Calibri"/>
      <family val="2"/>
    </font>
    <font>
      <b/>
      <sz val="11"/>
      <color indexed="8"/>
      <name val="Calibri"/>
      <family val="2"/>
    </font>
    <font>
      <sz val="10"/>
      <color theme="0"/>
      <name val="Calibri"/>
      <family val="2"/>
    </font>
    <font>
      <b/>
      <sz val="10.5"/>
      <color indexed="8"/>
      <name val="Calibri"/>
      <family val="2"/>
    </font>
    <font>
      <sz val="9"/>
      <color theme="0"/>
      <name val="Calibri"/>
      <family val="2"/>
      <scheme val="minor"/>
    </font>
    <font>
      <sz val="8"/>
      <color theme="0"/>
      <name val="Calibri"/>
      <family val="2"/>
      <scheme val="minor"/>
    </font>
    <font>
      <sz val="11"/>
      <color theme="0"/>
      <name val="Calibri"/>
      <family val="2"/>
    </font>
    <font>
      <sz val="9"/>
      <color theme="0"/>
      <name val="Calibri"/>
      <family val="2"/>
    </font>
    <font>
      <sz val="14"/>
      <color theme="0"/>
      <name val="Calibri"/>
      <family val="2"/>
      <scheme val="minor"/>
    </font>
    <font>
      <sz val="8"/>
      <color rgb="FF808080"/>
      <name val="Calibri"/>
      <family val="2"/>
      <scheme val="minor"/>
    </font>
    <font>
      <b/>
      <sz val="10"/>
      <color theme="0"/>
      <name val="Calibri"/>
      <family val="2"/>
    </font>
    <font>
      <sz val="12"/>
      <color theme="0"/>
      <name val="Calibri"/>
      <family val="2"/>
      <scheme val="minor"/>
    </font>
    <font>
      <b/>
      <sz val="9"/>
      <color indexed="8"/>
      <name val="Calibri"/>
      <family val="2"/>
    </font>
    <font>
      <sz val="10"/>
      <color theme="0"/>
      <name val="Calibri"/>
      <family val="2"/>
      <scheme val="minor"/>
    </font>
    <font>
      <sz val="10"/>
      <color theme="1"/>
      <name val="Calibri"/>
      <family val="2"/>
      <scheme val="minor"/>
    </font>
    <font>
      <sz val="9"/>
      <color rgb="FF0000FF"/>
      <name val="Calibri"/>
      <family val="2"/>
      <scheme val="minor"/>
    </font>
    <font>
      <sz val="14"/>
      <name val="Calibri"/>
      <family val="2"/>
    </font>
    <font>
      <b/>
      <sz val="11"/>
      <color rgb="FF990000"/>
      <name val="Calibri"/>
      <family val="2"/>
    </font>
    <font>
      <b/>
      <sz val="18"/>
      <name val="Calibri"/>
      <family val="2"/>
    </font>
    <font>
      <sz val="18"/>
      <name val="Calibri"/>
      <family val="2"/>
    </font>
    <font>
      <b/>
      <sz val="14"/>
      <name val="Calibri"/>
      <family val="2"/>
    </font>
    <font>
      <sz val="11"/>
      <color indexed="61"/>
      <name val="Calibri"/>
      <family val="2"/>
    </font>
    <font>
      <sz val="12"/>
      <color theme="1"/>
      <name val="Calibri"/>
      <family val="2"/>
      <scheme val="minor"/>
    </font>
    <font>
      <sz val="12"/>
      <color indexed="8"/>
      <name val="Calibri"/>
      <family val="2"/>
    </font>
    <font>
      <sz val="16"/>
      <color indexed="8"/>
      <name val="Calibri"/>
      <family val="2"/>
    </font>
    <font>
      <sz val="14"/>
      <color theme="1"/>
      <name val="Calibri"/>
      <family val="2"/>
      <scheme val="minor"/>
    </font>
    <font>
      <sz val="20"/>
      <color indexed="8"/>
      <name val="Calibri"/>
      <family val="2"/>
    </font>
    <font>
      <b/>
      <i/>
      <sz val="11"/>
      <color indexed="8"/>
      <name val="Calibri"/>
      <family val="2"/>
    </font>
    <font>
      <sz val="8"/>
      <color indexed="16"/>
      <name val="Calibri"/>
      <family val="2"/>
    </font>
    <font>
      <b/>
      <i/>
      <u/>
      <sz val="18"/>
      <color indexed="8"/>
      <name val="Calibri"/>
      <family val="2"/>
    </font>
    <font>
      <b/>
      <i/>
      <u/>
      <sz val="16"/>
      <color indexed="8"/>
      <name val="Calibri"/>
      <family val="2"/>
    </font>
    <font>
      <sz val="9"/>
      <color indexed="16"/>
      <name val="Calibri"/>
      <family val="2"/>
    </font>
    <font>
      <sz val="11"/>
      <color rgb="FF0000FF"/>
      <name val="Calibri"/>
      <family val="2"/>
    </font>
    <font>
      <sz val="11"/>
      <color indexed="60"/>
      <name val="Calibri"/>
      <family val="2"/>
    </font>
    <font>
      <sz val="7"/>
      <color indexed="16"/>
      <name val="Calibri"/>
      <family val="2"/>
    </font>
    <font>
      <sz val="9"/>
      <color indexed="12"/>
      <name val="Calibri"/>
      <family val="2"/>
    </font>
    <font>
      <sz val="11"/>
      <name val="Calibri"/>
      <family val="2"/>
    </font>
    <font>
      <sz val="11"/>
      <color rgb="FF990000"/>
      <name val="Calibri"/>
      <family val="2"/>
      <scheme val="minor"/>
    </font>
    <font>
      <b/>
      <i/>
      <sz val="11"/>
      <color rgb="FF0000FF"/>
      <name val="Calibri"/>
      <family val="2"/>
    </font>
    <font>
      <i/>
      <sz val="11"/>
      <color indexed="16"/>
      <name val="Calibri"/>
      <family val="2"/>
    </font>
    <font>
      <i/>
      <sz val="11"/>
      <color rgb="FF0000FF"/>
      <name val="Calibri"/>
      <family val="2"/>
    </font>
    <font>
      <sz val="11"/>
      <color indexed="9"/>
      <name val="Calibri"/>
      <family val="2"/>
    </font>
    <font>
      <b/>
      <sz val="11"/>
      <color indexed="9"/>
      <name val="Calibri"/>
      <family val="2"/>
    </font>
    <font>
      <b/>
      <sz val="8"/>
      <color indexed="8"/>
      <name val="Calibri"/>
      <family val="2"/>
    </font>
    <font>
      <b/>
      <sz val="10"/>
      <color indexed="56"/>
      <name val="Calibri"/>
      <family val="2"/>
    </font>
    <font>
      <b/>
      <sz val="12"/>
      <color indexed="60"/>
      <name val="Calibri"/>
      <family val="2"/>
    </font>
    <font>
      <b/>
      <sz val="10"/>
      <color rgb="FF990000"/>
      <name val="Calibri"/>
      <family val="2"/>
    </font>
    <font>
      <b/>
      <sz val="8"/>
      <name val="Calibri"/>
      <family val="2"/>
    </font>
    <font>
      <sz val="11"/>
      <color indexed="16"/>
      <name val="Calibri"/>
      <family val="2"/>
    </font>
    <font>
      <b/>
      <sz val="9"/>
      <color indexed="81"/>
      <name val="Tahoma"/>
      <family val="2"/>
    </font>
    <font>
      <sz val="9"/>
      <color indexed="81"/>
      <name val="Tahoma"/>
      <family val="2"/>
    </font>
    <font>
      <b/>
      <sz val="8"/>
      <color indexed="81"/>
      <name val="Tahoma"/>
      <family val="2"/>
    </font>
    <font>
      <sz val="8"/>
      <color indexed="81"/>
      <name val="Tahoma"/>
      <family val="2"/>
    </font>
    <font>
      <b/>
      <sz val="8"/>
      <color indexed="12"/>
      <name val="Calibri"/>
      <family val="2"/>
    </font>
    <font>
      <b/>
      <i/>
      <sz val="22"/>
      <color indexed="8"/>
      <name val="Calibri"/>
      <family val="2"/>
    </font>
    <font>
      <b/>
      <i/>
      <sz val="20"/>
      <color indexed="8"/>
      <name val="Calibri"/>
      <family val="2"/>
    </font>
    <font>
      <b/>
      <i/>
      <sz val="18"/>
      <color indexed="8"/>
      <name val="Calibri"/>
      <family val="2"/>
    </font>
    <font>
      <sz val="18"/>
      <color theme="1"/>
      <name val="Calibri"/>
      <family val="2"/>
      <scheme val="minor"/>
    </font>
    <font>
      <b/>
      <sz val="8"/>
      <color indexed="16"/>
      <name val="Calibri"/>
      <family val="2"/>
    </font>
  </fonts>
  <fills count="11">
    <fill>
      <patternFill patternType="none"/>
    </fill>
    <fill>
      <patternFill patternType="gray125"/>
    </fill>
    <fill>
      <patternFill patternType="solid">
        <fgColor indexed="23"/>
        <bgColor indexed="64"/>
      </patternFill>
    </fill>
    <fill>
      <patternFill patternType="solid">
        <fgColor rgb="FF808080"/>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s>
  <borders count="85">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dotted">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style="medium">
        <color indexed="64"/>
      </top>
      <bottom/>
      <diagonal/>
    </border>
    <border>
      <left/>
      <right style="dotted">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dotted">
        <color indexed="64"/>
      </right>
      <top/>
      <bottom style="medium">
        <color indexed="64"/>
      </bottom>
      <diagonal/>
    </border>
    <border>
      <left style="dotted">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dotted">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dotted">
        <color indexed="64"/>
      </right>
      <top style="medium">
        <color indexed="64"/>
      </top>
      <bottom style="hair">
        <color indexed="64"/>
      </bottom>
      <diagonal/>
    </border>
    <border>
      <left/>
      <right style="hair">
        <color indexed="64"/>
      </right>
      <top style="medium">
        <color indexed="64"/>
      </top>
      <bottom/>
      <diagonal/>
    </border>
    <border>
      <left style="hair">
        <color indexed="64"/>
      </left>
      <right style="dashed">
        <color indexed="64"/>
      </right>
      <top style="medium">
        <color indexed="64"/>
      </top>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dotted">
        <color indexed="64"/>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ashed">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dashed">
        <color indexed="64"/>
      </right>
      <top style="hair">
        <color indexed="64"/>
      </top>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hair">
        <color indexed="64"/>
      </right>
      <top style="medium">
        <color indexed="64"/>
      </top>
      <bottom style="medium">
        <color indexed="64"/>
      </bottom>
      <diagonal/>
    </border>
    <border>
      <left style="medium">
        <color indexed="64"/>
      </left>
      <right/>
      <top/>
      <bottom/>
      <diagonal/>
    </border>
    <border>
      <left style="thin">
        <color indexed="64"/>
      </left>
      <right style="hair">
        <color indexed="64"/>
      </right>
      <top/>
      <bottom/>
      <diagonal/>
    </border>
    <border>
      <left style="hair">
        <color indexed="64"/>
      </left>
      <right style="medium">
        <color indexed="64"/>
      </right>
      <top/>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581">
    <xf numFmtId="0" fontId="0" fillId="0" borderId="0" xfId="0"/>
    <xf numFmtId="7" fontId="4" fillId="2" borderId="0" xfId="0" applyNumberFormat="1" applyFont="1" applyFill="1" applyAlignment="1">
      <alignment horizontal="center" vertical="center"/>
    </xf>
    <xf numFmtId="39" fontId="3" fillId="0" borderId="0" xfId="0" applyNumberFormat="1" applyFont="1"/>
    <xf numFmtId="39" fontId="5" fillId="3" borderId="0" xfId="0" applyNumberFormat="1" applyFont="1" applyFill="1" applyAlignment="1">
      <alignment vertical="center"/>
    </xf>
    <xf numFmtId="0" fontId="5" fillId="3" borderId="0" xfId="0" applyFont="1" applyFill="1"/>
    <xf numFmtId="0" fontId="6" fillId="3" borderId="0" xfId="0" applyFont="1" applyFill="1" applyBorder="1" applyAlignment="1" applyProtection="1">
      <alignment horizontal="center" vertical="center"/>
      <protection locked="0"/>
    </xf>
    <xf numFmtId="164" fontId="7" fillId="3" borderId="0" xfId="0" applyNumberFormat="1" applyFont="1" applyFill="1" applyBorder="1" applyAlignment="1" applyProtection="1">
      <alignment horizontal="center" vertical="center"/>
      <protection locked="0"/>
    </xf>
    <xf numFmtId="165" fontId="8" fillId="3" borderId="0" xfId="0" applyNumberFormat="1" applyFont="1" applyFill="1" applyBorder="1" applyAlignment="1" applyProtection="1">
      <alignment horizontal="center" vertical="center"/>
      <protection locked="0"/>
    </xf>
    <xf numFmtId="9" fontId="9" fillId="3" borderId="0" xfId="0" applyNumberFormat="1" applyFont="1" applyFill="1" applyBorder="1" applyAlignment="1" applyProtection="1">
      <alignment horizontal="center" vertical="center"/>
      <protection locked="0"/>
    </xf>
    <xf numFmtId="5" fontId="9" fillId="3" borderId="0" xfId="0" applyNumberFormat="1" applyFont="1" applyFill="1" applyBorder="1" applyAlignment="1" applyProtection="1">
      <alignment horizontal="center" vertical="center"/>
      <protection locked="0"/>
    </xf>
    <xf numFmtId="7" fontId="7" fillId="3" borderId="0" xfId="0" applyNumberFormat="1" applyFont="1" applyFill="1" applyBorder="1" applyAlignment="1" applyProtection="1">
      <alignment horizontal="center" vertical="center"/>
      <protection locked="0"/>
    </xf>
    <xf numFmtId="10" fontId="10" fillId="3" borderId="0" xfId="0" applyNumberFormat="1" applyFont="1" applyFill="1" applyAlignment="1" applyProtection="1">
      <alignment horizontal="center" vertical="center"/>
      <protection locked="0"/>
    </xf>
    <xf numFmtId="0" fontId="0" fillId="0" borderId="0" xfId="0" applyAlignment="1">
      <alignment vertical="center"/>
    </xf>
    <xf numFmtId="0" fontId="11" fillId="0" borderId="0" xfId="0" applyFont="1" applyAlignment="1">
      <alignment horizontal="center" vertical="center" wrapText="1"/>
    </xf>
    <xf numFmtId="0" fontId="3" fillId="0" borderId="0" xfId="0" applyFont="1"/>
    <xf numFmtId="8" fontId="3" fillId="0" borderId="0" xfId="0" applyNumberFormat="1" applyFont="1" applyAlignment="1">
      <alignment vertical="center"/>
    </xf>
    <xf numFmtId="0" fontId="12" fillId="0" borderId="0" xfId="0" applyFont="1" applyAlignment="1">
      <alignment horizontal="center"/>
    </xf>
    <xf numFmtId="10" fontId="13" fillId="0" borderId="0" xfId="0" applyNumberFormat="1" applyFont="1" applyAlignment="1">
      <alignment horizontal="center" vertical="center"/>
    </xf>
    <xf numFmtId="6" fontId="0" fillId="0" borderId="0" xfId="0" applyNumberFormat="1"/>
    <xf numFmtId="0" fontId="0" fillId="2" borderId="0" xfId="0" applyFill="1"/>
    <xf numFmtId="0" fontId="3" fillId="0" borderId="0" xfId="0" applyFont="1" applyAlignment="1">
      <alignment vertical="center"/>
    </xf>
    <xf numFmtId="8" fontId="0" fillId="0" borderId="0" xfId="0" applyNumberFormat="1" applyAlignment="1">
      <alignment vertical="center"/>
    </xf>
    <xf numFmtId="0" fontId="14" fillId="0" borderId="0" xfId="0" applyFont="1" applyAlignment="1">
      <alignment horizontal="center"/>
    </xf>
    <xf numFmtId="8" fontId="0" fillId="0" borderId="0" xfId="0" applyNumberFormat="1"/>
    <xf numFmtId="6" fontId="0" fillId="0" borderId="0" xfId="0" applyNumberFormat="1" applyAlignment="1">
      <alignment vertical="center"/>
    </xf>
    <xf numFmtId="0" fontId="15" fillId="4" borderId="0" xfId="0" applyFont="1" applyFill="1"/>
    <xf numFmtId="0" fontId="0" fillId="4" borderId="0" xfId="0" applyFill="1"/>
    <xf numFmtId="0" fontId="16" fillId="0" borderId="0" xfId="0" applyFont="1"/>
    <xf numFmtId="0" fontId="17" fillId="0" borderId="0" xfId="0" applyFont="1" applyAlignment="1">
      <alignment horizontal="center" vertical="center"/>
    </xf>
    <xf numFmtId="166" fontId="18" fillId="0" borderId="0" xfId="0" applyNumberFormat="1" applyFont="1" applyAlignment="1">
      <alignment horizontal="center" vertical="center"/>
    </xf>
    <xf numFmtId="0" fontId="15" fillId="4" borderId="0" xfId="0" applyFont="1" applyFill="1" applyAlignment="1">
      <alignment vertical="center"/>
    </xf>
    <xf numFmtId="0" fontId="0" fillId="4" borderId="0" xfId="0" applyFill="1" applyAlignment="1">
      <alignment vertical="center"/>
    </xf>
    <xf numFmtId="8" fontId="19" fillId="0" borderId="0" xfId="0" applyNumberFormat="1" applyFont="1" applyAlignment="1">
      <alignment horizontal="center"/>
    </xf>
    <xf numFmtId="39" fontId="3" fillId="0" borderId="0" xfId="0" applyNumberFormat="1" applyFont="1" applyAlignment="1">
      <alignment vertical="center"/>
    </xf>
    <xf numFmtId="0" fontId="21" fillId="0" borderId="0" xfId="0" applyFont="1" applyFill="1" applyBorder="1" applyAlignment="1">
      <alignment horizontal="right" indent="3"/>
    </xf>
    <xf numFmtId="167" fontId="0" fillId="0" borderId="0" xfId="0" applyNumberFormat="1" applyAlignment="1">
      <alignment vertical="center"/>
    </xf>
    <xf numFmtId="0" fontId="25" fillId="5" borderId="0" xfId="0" applyFont="1" applyFill="1" applyAlignment="1">
      <alignment horizontal="center" vertical="center" wrapText="1"/>
    </xf>
    <xf numFmtId="0" fontId="26" fillId="4" borderId="0" xfId="0" applyFont="1" applyFill="1" applyAlignment="1">
      <alignment horizontal="center" vertical="center" wrapText="1"/>
    </xf>
    <xf numFmtId="0" fontId="0" fillId="5" borderId="0" xfId="0" applyFill="1"/>
    <xf numFmtId="0" fontId="29" fillId="4" borderId="0" xfId="0" applyFont="1" applyFill="1"/>
    <xf numFmtId="0" fontId="29" fillId="4" borderId="0" xfId="0" applyFont="1" applyFill="1" applyAlignment="1">
      <alignment vertical="center"/>
    </xf>
    <xf numFmtId="10" fontId="39" fillId="4" borderId="0" xfId="0" applyNumberFormat="1" applyFont="1" applyFill="1" applyAlignment="1">
      <alignment horizontal="center" vertical="center"/>
    </xf>
    <xf numFmtId="166" fontId="20" fillId="4" borderId="0" xfId="0" applyNumberFormat="1" applyFont="1" applyFill="1" applyAlignment="1">
      <alignment horizontal="center" vertical="center"/>
    </xf>
    <xf numFmtId="7" fontId="13" fillId="6" borderId="0" xfId="0" applyNumberFormat="1" applyFont="1" applyFill="1" applyAlignment="1">
      <alignment horizontal="center" vertical="center"/>
    </xf>
    <xf numFmtId="7" fontId="13" fillId="0" borderId="0" xfId="0" applyNumberFormat="1" applyFont="1" applyAlignment="1">
      <alignment horizontal="center" vertical="center"/>
    </xf>
    <xf numFmtId="7" fontId="47" fillId="7" borderId="8" xfId="0" applyNumberFormat="1" applyFont="1" applyFill="1" applyBorder="1" applyAlignment="1">
      <alignment horizontal="center" vertical="center"/>
    </xf>
    <xf numFmtId="5" fontId="48" fillId="7" borderId="9" xfId="0" applyNumberFormat="1" applyFont="1" applyFill="1" applyBorder="1" applyAlignment="1">
      <alignment horizontal="center" vertical="center"/>
    </xf>
    <xf numFmtId="0" fontId="5" fillId="2" borderId="0" xfId="0" applyFont="1" applyFill="1" applyAlignment="1">
      <alignment horizontal="center" vertical="center"/>
    </xf>
    <xf numFmtId="5" fontId="17" fillId="0" borderId="0" xfId="0" applyNumberFormat="1" applyFont="1" applyAlignment="1">
      <alignment horizontal="right" vertical="center"/>
    </xf>
    <xf numFmtId="10" fontId="53" fillId="0" borderId="0" xfId="0" applyNumberFormat="1" applyFont="1" applyAlignment="1">
      <alignment horizontal="center" vertical="center"/>
    </xf>
    <xf numFmtId="5" fontId="53" fillId="0" borderId="0" xfId="0" applyNumberFormat="1" applyFont="1" applyAlignment="1">
      <alignment vertical="center"/>
    </xf>
    <xf numFmtId="9" fontId="55" fillId="4" borderId="0" xfId="0" applyNumberFormat="1" applyFont="1" applyFill="1" applyAlignment="1">
      <alignment horizontal="center" vertical="center"/>
    </xf>
    <xf numFmtId="0" fontId="11" fillId="0" borderId="0" xfId="0" applyFont="1" applyAlignment="1">
      <alignment horizontal="left" vertical="center" wrapText="1"/>
    </xf>
    <xf numFmtId="10" fontId="20" fillId="4" borderId="0" xfId="0" applyNumberFormat="1" applyFont="1" applyFill="1" applyAlignment="1">
      <alignment horizontal="center" vertical="center"/>
    </xf>
    <xf numFmtId="171" fontId="0" fillId="0" borderId="0" xfId="0" applyNumberFormat="1" applyAlignment="1">
      <alignment horizontal="center" vertical="center"/>
    </xf>
    <xf numFmtId="10" fontId="0" fillId="0" borderId="0" xfId="0" applyNumberFormat="1" applyAlignment="1">
      <alignment horizontal="center" vertical="center"/>
    </xf>
    <xf numFmtId="10" fontId="17" fillId="4" borderId="0" xfId="0" applyNumberFormat="1" applyFont="1" applyFill="1" applyAlignment="1">
      <alignment horizontal="center" vertical="center"/>
    </xf>
    <xf numFmtId="7" fontId="0" fillId="0" borderId="0" xfId="0" applyNumberFormat="1" applyAlignment="1">
      <alignment vertical="center"/>
    </xf>
    <xf numFmtId="7" fontId="0" fillId="0" borderId="0" xfId="0" applyNumberFormat="1" applyAlignment="1">
      <alignment horizontal="center" vertical="center"/>
    </xf>
    <xf numFmtId="7" fontId="47" fillId="0" borderId="0" xfId="0" applyNumberFormat="1" applyFont="1" applyAlignment="1">
      <alignment vertical="center"/>
    </xf>
    <xf numFmtId="7" fontId="64" fillId="4" borderId="0" xfId="0" applyNumberFormat="1" applyFont="1" applyFill="1" applyAlignment="1">
      <alignment horizontal="center" vertical="center" wrapText="1"/>
    </xf>
    <xf numFmtId="0" fontId="65" fillId="8" borderId="0" xfId="0" applyFont="1" applyFill="1" applyAlignment="1">
      <alignment horizontal="center" vertical="center"/>
    </xf>
    <xf numFmtId="0" fontId="68" fillId="0" borderId="0" xfId="0" applyFont="1" applyAlignment="1">
      <alignment horizontal="center" vertical="center"/>
    </xf>
    <xf numFmtId="0" fontId="0" fillId="0" borderId="0" xfId="0" applyAlignment="1">
      <alignment horizontal="center" vertical="center"/>
    </xf>
    <xf numFmtId="169" fontId="65" fillId="4" borderId="0" xfId="0" applyNumberFormat="1" applyFont="1" applyFill="1" applyAlignment="1">
      <alignment horizontal="center" vertical="center"/>
    </xf>
    <xf numFmtId="0" fontId="69" fillId="4" borderId="0" xfId="0" applyFont="1" applyFill="1" applyAlignment="1">
      <alignment horizontal="center" vertical="center"/>
    </xf>
    <xf numFmtId="164" fontId="53" fillId="0" borderId="0" xfId="0" applyNumberFormat="1" applyFont="1" applyAlignment="1">
      <alignment horizontal="center" vertical="center"/>
    </xf>
    <xf numFmtId="165" fontId="71" fillId="0" borderId="0" xfId="0" applyNumberFormat="1" applyFont="1" applyAlignment="1">
      <alignment horizontal="center" vertical="center"/>
    </xf>
    <xf numFmtId="5" fontId="0" fillId="0" borderId="0" xfId="0" applyNumberFormat="1"/>
    <xf numFmtId="10" fontId="0" fillId="0" borderId="0" xfId="0" applyNumberFormat="1" applyAlignment="1">
      <alignment vertical="center"/>
    </xf>
    <xf numFmtId="164" fontId="72" fillId="0" borderId="0" xfId="0" applyNumberFormat="1" applyFont="1" applyAlignment="1">
      <alignment horizontal="center" vertical="center"/>
    </xf>
    <xf numFmtId="0" fontId="5" fillId="2" borderId="0" xfId="0" applyFont="1" applyFill="1"/>
    <xf numFmtId="5" fontId="0" fillId="0" borderId="0" xfId="0" applyNumberFormat="1" applyAlignment="1">
      <alignment vertical="center"/>
    </xf>
    <xf numFmtId="0" fontId="73" fillId="0" borderId="0" xfId="0" applyFont="1" applyAlignment="1">
      <alignment horizontal="center" vertical="center"/>
    </xf>
    <xf numFmtId="164" fontId="39" fillId="0" borderId="0" xfId="0" applyNumberFormat="1" applyFont="1" applyAlignment="1">
      <alignment horizontal="center" vertical="center"/>
    </xf>
    <xf numFmtId="165" fontId="0" fillId="2" borderId="0" xfId="0" applyNumberFormat="1" applyFill="1"/>
    <xf numFmtId="166" fontId="0" fillId="0" borderId="0" xfId="0" applyNumberFormat="1" applyAlignment="1">
      <alignment horizontal="center" vertical="center"/>
    </xf>
    <xf numFmtId="0" fontId="74" fillId="9" borderId="0" xfId="0" applyFont="1" applyFill="1" applyAlignment="1">
      <alignment horizontal="center" vertical="center" wrapText="1"/>
    </xf>
    <xf numFmtId="164" fontId="75" fillId="8" borderId="0" xfId="0" applyNumberFormat="1" applyFont="1" applyFill="1" applyAlignment="1">
      <alignment horizontal="center" vertical="center"/>
    </xf>
    <xf numFmtId="5" fontId="0" fillId="9" borderId="0" xfId="0" applyNumberFormat="1" applyFill="1" applyAlignment="1">
      <alignment vertical="center"/>
    </xf>
    <xf numFmtId="165" fontId="29" fillId="4" borderId="0" xfId="0" applyNumberFormat="1" applyFont="1" applyFill="1" applyAlignment="1">
      <alignment horizontal="center" vertical="center"/>
    </xf>
    <xf numFmtId="165" fontId="43" fillId="0" borderId="0" xfId="0" applyNumberFormat="1" applyFont="1" applyAlignment="1">
      <alignment horizontal="center" vertical="center"/>
    </xf>
    <xf numFmtId="166" fontId="5" fillId="2" borderId="0" xfId="0" applyNumberFormat="1" applyFont="1" applyFill="1" applyAlignment="1">
      <alignment vertical="center"/>
    </xf>
    <xf numFmtId="165" fontId="88" fillId="2" borderId="0" xfId="0" applyNumberFormat="1" applyFont="1" applyFill="1"/>
    <xf numFmtId="0" fontId="43" fillId="0" borderId="0" xfId="0" applyFont="1" applyAlignment="1">
      <alignment horizontal="center" vertical="center"/>
    </xf>
    <xf numFmtId="174" fontId="44" fillId="0" borderId="0" xfId="0" applyNumberFormat="1" applyFont="1" applyAlignment="1">
      <alignment horizontal="center" vertical="center"/>
    </xf>
    <xf numFmtId="0" fontId="44" fillId="0" borderId="0" xfId="0" applyFont="1" applyAlignment="1">
      <alignment horizontal="center" vertical="center"/>
    </xf>
    <xf numFmtId="0" fontId="52" fillId="0" borderId="0" xfId="0" applyFont="1" applyAlignment="1">
      <alignment horizontal="centerContinuous" vertical="center"/>
    </xf>
    <xf numFmtId="0" fontId="95" fillId="2" borderId="0" xfId="0" applyFont="1" applyFill="1" applyBorder="1" applyAlignment="1">
      <alignment horizontal="center"/>
    </xf>
    <xf numFmtId="0" fontId="96" fillId="0" borderId="0" xfId="0" applyFont="1" applyAlignment="1">
      <alignment horizontal="center" vertical="center"/>
    </xf>
    <xf numFmtId="0" fontId="52" fillId="0" borderId="0" xfId="0" quotePrefix="1" applyFont="1" applyAlignment="1">
      <alignment horizontal="centerContinuous" vertical="center"/>
    </xf>
    <xf numFmtId="10" fontId="100" fillId="0" borderId="0" xfId="0" applyNumberFormat="1" applyFont="1" applyAlignment="1">
      <alignment horizontal="center" vertical="center"/>
    </xf>
    <xf numFmtId="169" fontId="29" fillId="4" borderId="0" xfId="0" applyNumberFormat="1" applyFont="1" applyFill="1" applyAlignment="1">
      <alignment horizontal="center" vertical="center"/>
    </xf>
    <xf numFmtId="0" fontId="29" fillId="4" borderId="0" xfId="0" applyFont="1" applyFill="1" applyAlignment="1">
      <alignment horizontal="center" vertical="center"/>
    </xf>
    <xf numFmtId="171" fontId="44" fillId="0" borderId="0" xfId="0" applyNumberFormat="1" applyFont="1" applyAlignment="1">
      <alignment horizontal="center" vertical="center"/>
    </xf>
    <xf numFmtId="164" fontId="44" fillId="0" borderId="0" xfId="0" applyNumberFormat="1" applyFont="1" applyAlignment="1">
      <alignment horizontal="center" vertical="center"/>
    </xf>
    <xf numFmtId="165" fontId="0" fillId="0" borderId="0" xfId="0" applyNumberFormat="1" applyAlignment="1">
      <alignment horizontal="center" vertical="center"/>
    </xf>
    <xf numFmtId="0" fontId="100" fillId="0" borderId="0" xfId="0" applyFont="1" applyAlignment="1">
      <alignment horizontal="center" vertical="center"/>
    </xf>
    <xf numFmtId="164" fontId="28" fillId="0" borderId="0" xfId="0" applyNumberFormat="1" applyFont="1" applyAlignment="1">
      <alignment horizontal="center" vertical="center"/>
    </xf>
    <xf numFmtId="0" fontId="3" fillId="3" borderId="0" xfId="0" applyFont="1" applyFill="1" applyAlignment="1">
      <alignment vertical="center"/>
    </xf>
    <xf numFmtId="5" fontId="17" fillId="4" borderId="0" xfId="0" applyNumberFormat="1" applyFont="1" applyFill="1" applyAlignment="1">
      <alignment horizontal="center" vertical="center"/>
    </xf>
    <xf numFmtId="9" fontId="17" fillId="4" borderId="0" xfId="0" applyNumberFormat="1" applyFont="1" applyFill="1" applyAlignment="1">
      <alignment horizontal="center" vertical="center"/>
    </xf>
    <xf numFmtId="10" fontId="44" fillId="0" borderId="0" xfId="0" applyNumberFormat="1" applyFont="1" applyAlignment="1">
      <alignment vertical="center"/>
    </xf>
    <xf numFmtId="0" fontId="39" fillId="4" borderId="0" xfId="0" applyFont="1" applyFill="1" applyAlignment="1">
      <alignment horizontal="centerContinuous" vertical="center"/>
    </xf>
    <xf numFmtId="0" fontId="110" fillId="4" borderId="0" xfId="0" applyFont="1" applyFill="1" applyAlignment="1">
      <alignment horizontal="center" vertical="center"/>
    </xf>
    <xf numFmtId="0" fontId="110" fillId="4" borderId="0" xfId="0" applyFont="1" applyFill="1" applyAlignment="1">
      <alignment horizontal="center"/>
    </xf>
    <xf numFmtId="10" fontId="111" fillId="4" borderId="0" xfId="0" applyNumberFormat="1" applyFont="1" applyFill="1" applyAlignment="1">
      <alignment vertical="center"/>
    </xf>
    <xf numFmtId="5" fontId="111" fillId="4" borderId="0" xfId="0" applyNumberFormat="1" applyFont="1" applyFill="1" applyAlignment="1">
      <alignment vertical="center"/>
    </xf>
    <xf numFmtId="0" fontId="111" fillId="4" borderId="0" xfId="0" applyFont="1" applyFill="1" applyAlignment="1">
      <alignment horizontal="center" vertical="center"/>
    </xf>
    <xf numFmtId="0" fontId="113" fillId="4" borderId="0" xfId="0" applyFont="1" applyFill="1" applyAlignment="1">
      <alignment horizontal="center" vertical="center"/>
    </xf>
    <xf numFmtId="171" fontId="11" fillId="0" borderId="0" xfId="0" applyNumberFormat="1" applyFont="1" applyAlignment="1">
      <alignment horizontal="center" vertical="center"/>
    </xf>
    <xf numFmtId="10" fontId="0" fillId="0" borderId="0" xfId="0" applyNumberFormat="1"/>
    <xf numFmtId="0" fontId="19" fillId="0" borderId="0" xfId="0" applyFont="1" applyAlignment="1">
      <alignment horizontal="center" vertical="center"/>
    </xf>
    <xf numFmtId="0" fontId="19" fillId="0" borderId="0" xfId="0" applyFont="1" applyAlignment="1">
      <alignment horizontal="center"/>
    </xf>
    <xf numFmtId="7" fontId="0" fillId="0" borderId="0" xfId="0" applyNumberFormat="1"/>
    <xf numFmtId="0" fontId="117" fillId="4" borderId="0" xfId="0" applyFont="1" applyFill="1" applyAlignment="1">
      <alignment horizontal="centerContinuous" vertical="center"/>
    </xf>
    <xf numFmtId="0" fontId="118" fillId="4" borderId="0" xfId="0" applyFont="1" applyFill="1" applyAlignment="1">
      <alignment horizontal="centerContinuous" vertical="center"/>
    </xf>
    <xf numFmtId="10" fontId="111" fillId="4" borderId="0" xfId="0" applyNumberFormat="1" applyFont="1" applyFill="1"/>
    <xf numFmtId="0" fontId="11" fillId="0" borderId="0" xfId="0" applyFont="1"/>
    <xf numFmtId="7" fontId="11" fillId="0" borderId="0" xfId="0" applyNumberFormat="1" applyFont="1" applyAlignment="1">
      <alignment vertical="center"/>
    </xf>
    <xf numFmtId="7" fontId="117" fillId="4" borderId="0" xfId="0" applyNumberFormat="1" applyFont="1" applyFill="1" applyAlignment="1">
      <alignment horizontal="centerContinuous" vertical="center"/>
    </xf>
    <xf numFmtId="0" fontId="119" fillId="4" borderId="0" xfId="0" applyFont="1" applyFill="1" applyAlignment="1">
      <alignment horizontal="centerContinuous" vertical="center"/>
    </xf>
    <xf numFmtId="0" fontId="80" fillId="0" borderId="0" xfId="0" applyFont="1" applyAlignment="1">
      <alignment horizontal="centerContinuous" vertical="center"/>
    </xf>
    <xf numFmtId="7" fontId="80" fillId="0" borderId="0" xfId="0" applyNumberFormat="1" applyFont="1" applyAlignment="1">
      <alignment horizontal="centerContinuous" vertical="center"/>
    </xf>
    <xf numFmtId="164" fontId="115" fillId="0" borderId="0" xfId="0" applyNumberFormat="1" applyFont="1" applyAlignment="1">
      <alignment horizontal="center" vertical="center"/>
    </xf>
    <xf numFmtId="5" fontId="115" fillId="0" borderId="0" xfId="0" applyNumberFormat="1" applyFont="1" applyAlignment="1">
      <alignment vertical="center"/>
    </xf>
    <xf numFmtId="0" fontId="47" fillId="0" borderId="0" xfId="0" applyFont="1" applyAlignment="1">
      <alignment horizontal="centerContinuous" vertical="center"/>
    </xf>
    <xf numFmtId="10" fontId="115" fillId="0" borderId="0" xfId="0" applyNumberFormat="1" applyFont="1" applyAlignment="1">
      <alignment vertical="center"/>
    </xf>
    <xf numFmtId="0" fontId="115" fillId="0" borderId="0" xfId="0" applyFont="1" applyAlignment="1">
      <alignment horizontal="center" vertical="center"/>
    </xf>
    <xf numFmtId="0" fontId="115" fillId="0" borderId="0" xfId="0" applyFont="1" applyAlignment="1">
      <alignment vertical="center"/>
    </xf>
    <xf numFmtId="0" fontId="0" fillId="0" borderId="0" xfId="0" applyAlignment="1">
      <alignment horizontal="center"/>
    </xf>
    <xf numFmtId="5" fontId="126" fillId="0" borderId="0" xfId="0" applyNumberFormat="1" applyFont="1" applyAlignment="1">
      <alignment horizontal="center" vertical="center"/>
    </xf>
    <xf numFmtId="0" fontId="77" fillId="0" borderId="0" xfId="0" applyFont="1" applyAlignment="1">
      <alignment horizontal="center" vertical="center"/>
    </xf>
    <xf numFmtId="169" fontId="29" fillId="4" borderId="0" xfId="0" applyNumberFormat="1" applyFont="1" applyFill="1" applyAlignment="1">
      <alignment horizontal="center"/>
    </xf>
    <xf numFmtId="0" fontId="29" fillId="4" borderId="0" xfId="0" applyFont="1" applyFill="1" applyAlignment="1">
      <alignment horizontal="center"/>
    </xf>
    <xf numFmtId="164" fontId="0" fillId="0" borderId="0" xfId="0" applyNumberFormat="1" applyAlignment="1">
      <alignment horizontal="center" vertical="center"/>
    </xf>
    <xf numFmtId="0" fontId="127" fillId="0" borderId="0" xfId="0" applyFont="1" applyAlignment="1">
      <alignment horizontal="center" vertical="center"/>
    </xf>
    <xf numFmtId="164" fontId="100" fillId="0" borderId="0" xfId="0" applyNumberFormat="1" applyFont="1" applyAlignment="1">
      <alignment horizontal="center" vertical="center"/>
    </xf>
    <xf numFmtId="169" fontId="0" fillId="0" borderId="0" xfId="0" applyNumberFormat="1" applyAlignment="1">
      <alignment horizontal="center" vertical="center"/>
    </xf>
    <xf numFmtId="171" fontId="86" fillId="0" borderId="0" xfId="0" applyNumberFormat="1" applyFont="1" applyAlignment="1">
      <alignment horizontal="center" vertical="center"/>
    </xf>
    <xf numFmtId="171" fontId="19" fillId="0" borderId="0" xfId="0" applyNumberFormat="1" applyFont="1" applyAlignment="1">
      <alignment horizontal="center" vertical="center"/>
    </xf>
    <xf numFmtId="166" fontId="68" fillId="2" borderId="0" xfId="0" applyNumberFormat="1" applyFont="1" applyFill="1" applyAlignment="1">
      <alignment horizontal="center" vertical="center"/>
    </xf>
    <xf numFmtId="0" fontId="22" fillId="10" borderId="0" xfId="0" applyFont="1" applyFill="1" applyAlignment="1">
      <alignment horizontal="centerContinuous" vertical="center"/>
    </xf>
    <xf numFmtId="0" fontId="23" fillId="10" borderId="0" xfId="0" applyFont="1" applyFill="1" applyAlignment="1">
      <alignment horizontal="centerContinuous" vertical="center"/>
    </xf>
    <xf numFmtId="0" fontId="24" fillId="10" borderId="0" xfId="0" applyFont="1" applyFill="1" applyAlignment="1">
      <alignment horizontal="centerContinuous" vertical="center"/>
    </xf>
    <xf numFmtId="0" fontId="27" fillId="10" borderId="0" xfId="0" applyFont="1" applyFill="1" applyAlignment="1">
      <alignment horizontal="centerContinuous" vertical="center"/>
    </xf>
    <xf numFmtId="0" fontId="0" fillId="10" borderId="0" xfId="0" applyFill="1" applyAlignment="1">
      <alignment horizontal="centerContinuous" vertical="center"/>
    </xf>
    <xf numFmtId="0" fontId="30" fillId="10" borderId="0" xfId="0" applyFont="1" applyFill="1" applyAlignment="1">
      <alignment horizontal="centerContinuous" vertical="center"/>
    </xf>
    <xf numFmtId="0" fontId="0" fillId="10" borderId="0" xfId="0" applyFill="1"/>
    <xf numFmtId="0" fontId="32" fillId="10" borderId="0" xfId="0" applyFont="1" applyFill="1" applyAlignment="1">
      <alignment horizontal="left" vertical="center" indent="2"/>
    </xf>
    <xf numFmtId="0" fontId="34" fillId="10" borderId="0" xfId="0" applyFont="1" applyFill="1" applyAlignment="1">
      <alignment horizontal="centerContinuous" vertical="center"/>
    </xf>
    <xf numFmtId="0" fontId="36" fillId="10" borderId="0" xfId="0" applyFont="1" applyFill="1" applyAlignment="1">
      <alignment horizontal="left" vertical="center" indent="5"/>
    </xf>
    <xf numFmtId="8" fontId="0" fillId="10" borderId="0" xfId="0" applyNumberFormat="1" applyFill="1" applyAlignment="1">
      <alignment horizontal="center" vertical="center"/>
    </xf>
    <xf numFmtId="0" fontId="38" fillId="10" borderId="0" xfId="0" applyFont="1" applyFill="1" applyAlignment="1">
      <alignment horizontal="left" vertical="center" indent="2"/>
    </xf>
    <xf numFmtId="166" fontId="83" fillId="10" borderId="0" xfId="0" applyNumberFormat="1" applyFont="1" applyFill="1" applyAlignment="1">
      <alignment horizontal="center" vertical="center"/>
    </xf>
    <xf numFmtId="0" fontId="44" fillId="10" borderId="4" xfId="0" applyFont="1" applyFill="1" applyBorder="1" applyAlignment="1">
      <alignment horizontal="left" wrapText="1" indent="1"/>
    </xf>
    <xf numFmtId="0" fontId="44" fillId="10" borderId="7" xfId="0" applyFont="1" applyFill="1" applyBorder="1" applyAlignment="1">
      <alignment horizontal="left" wrapText="1" indent="1"/>
    </xf>
    <xf numFmtId="0" fontId="51" fillId="10" borderId="7" xfId="0" applyFont="1" applyFill="1" applyBorder="1" applyAlignment="1">
      <alignment horizontal="left" wrapText="1" indent="1"/>
    </xf>
    <xf numFmtId="0" fontId="59" fillId="10" borderId="13" xfId="0" applyFont="1" applyFill="1" applyBorder="1" applyAlignment="1">
      <alignment horizontal="left" wrapText="1" indent="1"/>
    </xf>
    <xf numFmtId="0" fontId="51" fillId="10" borderId="16" xfId="0" applyFont="1" applyFill="1" applyBorder="1" applyAlignment="1">
      <alignment horizontal="left" wrapText="1" indent="1"/>
    </xf>
    <xf numFmtId="0" fontId="51" fillId="10" borderId="0" xfId="0" applyFont="1" applyFill="1" applyBorder="1" applyAlignment="1">
      <alignment horizontal="left" wrapText="1" indent="1"/>
    </xf>
    <xf numFmtId="0" fontId="0" fillId="10" borderId="23" xfId="0" applyFill="1" applyBorder="1" applyAlignment="1">
      <alignment horizontal="center" vertical="center" wrapText="1"/>
    </xf>
    <xf numFmtId="0" fontId="70" fillId="10" borderId="20" xfId="0" applyFont="1" applyFill="1" applyBorder="1" applyAlignment="1">
      <alignment horizontal="right" indent="3"/>
    </xf>
    <xf numFmtId="0" fontId="70" fillId="10" borderId="7" xfId="0" applyFont="1" applyFill="1" applyBorder="1" applyAlignment="1">
      <alignment horizontal="right" indent="3"/>
    </xf>
    <xf numFmtId="0" fontId="70" fillId="10" borderId="16" xfId="0" applyFont="1" applyFill="1" applyBorder="1" applyAlignment="1">
      <alignment horizontal="right" indent="3"/>
    </xf>
    <xf numFmtId="0" fontId="52" fillId="10" borderId="24" xfId="0" applyFont="1" applyFill="1" applyBorder="1" applyAlignment="1">
      <alignment horizontal="left" vertical="center" indent="1"/>
    </xf>
    <xf numFmtId="0" fontId="52" fillId="10" borderId="11" xfId="0" applyFont="1" applyFill="1" applyBorder="1" applyAlignment="1">
      <alignment horizontal="left" vertical="center" indent="1"/>
    </xf>
    <xf numFmtId="0" fontId="80" fillId="10" borderId="0" xfId="0" applyFont="1" applyFill="1" applyBorder="1" applyAlignment="1">
      <alignment horizontal="left" vertical="center" wrapText="1" indent="1"/>
    </xf>
    <xf numFmtId="172" fontId="47" fillId="10" borderId="0" xfId="0" applyNumberFormat="1" applyFont="1" applyFill="1" applyBorder="1" applyAlignment="1">
      <alignment vertical="center"/>
    </xf>
    <xf numFmtId="0" fontId="64" fillId="10" borderId="0" xfId="0" applyFont="1" applyFill="1" applyBorder="1" applyAlignment="1">
      <alignment horizontal="left" vertical="center" wrapText="1" indent="1"/>
    </xf>
    <xf numFmtId="0" fontId="47" fillId="10" borderId="0" xfId="0" applyFont="1" applyFill="1" applyBorder="1" applyAlignment="1">
      <alignment horizontal="left" vertical="center" wrapText="1" indent="1"/>
    </xf>
    <xf numFmtId="0" fontId="64" fillId="10" borderId="0" xfId="0" applyFont="1" applyFill="1" applyBorder="1" applyAlignment="1">
      <alignment horizontal="left" vertical="top" wrapText="1"/>
    </xf>
    <xf numFmtId="0" fontId="64" fillId="10" borderId="0" xfId="0" applyFont="1" applyFill="1" applyBorder="1" applyAlignment="1">
      <alignment horizontal="left" vertical="top"/>
    </xf>
    <xf numFmtId="0" fontId="80" fillId="10" borderId="0" xfId="0" applyFont="1" applyFill="1" applyBorder="1" applyAlignment="1">
      <alignment horizontal="left" vertical="top" wrapText="1" indent="1"/>
    </xf>
    <xf numFmtId="0" fontId="64" fillId="10" borderId="0" xfId="0" applyFont="1" applyFill="1" applyBorder="1" applyAlignment="1">
      <alignment horizontal="left" vertical="center" wrapText="1"/>
    </xf>
    <xf numFmtId="0" fontId="64" fillId="10" borderId="0" xfId="0" applyFont="1" applyFill="1" applyBorder="1" applyAlignment="1">
      <alignment horizontal="left" vertical="center"/>
    </xf>
    <xf numFmtId="0" fontId="91" fillId="10" borderId="0" xfId="0" applyFont="1" applyFill="1" applyBorder="1" applyAlignment="1">
      <alignment horizontal="left" vertical="top" wrapText="1" indent="1"/>
    </xf>
    <xf numFmtId="0" fontId="0" fillId="10" borderId="0" xfId="0" applyFill="1" applyAlignment="1">
      <alignment vertical="center"/>
    </xf>
    <xf numFmtId="7" fontId="47" fillId="10" borderId="0" xfId="0" applyNumberFormat="1" applyFont="1" applyFill="1" applyAlignment="1">
      <alignment vertical="center"/>
    </xf>
    <xf numFmtId="5" fontId="47" fillId="10" borderId="0" xfId="0" applyNumberFormat="1" applyFont="1" applyFill="1" applyAlignment="1">
      <alignment vertical="center"/>
    </xf>
    <xf numFmtId="0" fontId="32" fillId="10" borderId="0" xfId="0" applyFont="1" applyFill="1" applyAlignment="1">
      <alignment horizontal="centerContinuous" vertical="center"/>
    </xf>
    <xf numFmtId="10" fontId="38" fillId="10" borderId="0" xfId="0" applyNumberFormat="1" applyFont="1" applyFill="1" applyAlignment="1">
      <alignment horizontal="centerContinuous" vertical="center"/>
    </xf>
    <xf numFmtId="166" fontId="38" fillId="10" borderId="0" xfId="0" applyNumberFormat="1" applyFont="1" applyFill="1" applyAlignment="1">
      <alignment horizontal="centerContinuous" vertical="center"/>
    </xf>
    <xf numFmtId="0" fontId="38" fillId="10" borderId="0" xfId="0" applyFont="1" applyFill="1" applyAlignment="1">
      <alignment horizontal="centerContinuous" vertical="center"/>
    </xf>
    <xf numFmtId="10" fontId="52" fillId="10" borderId="0" xfId="0" applyNumberFormat="1" applyFont="1" applyFill="1" applyAlignment="1">
      <alignment horizontal="centerContinuous" vertical="center"/>
    </xf>
    <xf numFmtId="166" fontId="52" fillId="10" borderId="0" xfId="0" applyNumberFormat="1" applyFont="1" applyFill="1" applyAlignment="1">
      <alignment horizontal="centerContinuous" vertical="center"/>
    </xf>
    <xf numFmtId="0" fontId="52" fillId="10" borderId="0" xfId="0" applyFont="1" applyFill="1" applyAlignment="1">
      <alignment horizontal="centerContinuous" vertical="center"/>
    </xf>
    <xf numFmtId="0" fontId="0" fillId="10" borderId="2" xfId="0" applyFill="1" applyBorder="1" applyAlignment="1">
      <alignment vertical="center"/>
    </xf>
    <xf numFmtId="0" fontId="0" fillId="10" borderId="3" xfId="0" applyFill="1" applyBorder="1" applyAlignment="1">
      <alignment vertical="center"/>
    </xf>
    <xf numFmtId="0" fontId="32" fillId="10" borderId="21" xfId="0" applyFont="1" applyFill="1" applyBorder="1" applyAlignment="1">
      <alignment horizontal="centerContinuous" vertical="center" wrapText="1"/>
    </xf>
    <xf numFmtId="0" fontId="80" fillId="10" borderId="26" xfId="0" applyFont="1" applyFill="1" applyBorder="1" applyAlignment="1">
      <alignment horizontal="centerContinuous" vertical="center" wrapText="1"/>
    </xf>
    <xf numFmtId="0" fontId="80" fillId="10" borderId="22" xfId="0" applyFont="1" applyFill="1" applyBorder="1" applyAlignment="1">
      <alignment horizontal="centerContinuous" vertical="center" wrapText="1"/>
    </xf>
    <xf numFmtId="0" fontId="80" fillId="10" borderId="23" xfId="0" applyFont="1" applyFill="1" applyBorder="1" applyAlignment="1">
      <alignment horizontal="centerContinuous" vertical="center" wrapText="1"/>
    </xf>
    <xf numFmtId="0" fontId="0" fillId="10" borderId="11" xfId="0" applyFill="1" applyBorder="1" applyAlignment="1">
      <alignment vertical="center"/>
    </xf>
    <xf numFmtId="0" fontId="0" fillId="10" borderId="12" xfId="0" applyFill="1" applyBorder="1" applyAlignment="1">
      <alignment vertical="center"/>
    </xf>
    <xf numFmtId="0" fontId="0" fillId="10" borderId="27" xfId="0" applyFill="1" applyBorder="1" applyAlignment="1">
      <alignment vertical="center"/>
    </xf>
    <xf numFmtId="0" fontId="47" fillId="10" borderId="30" xfId="0" applyFont="1" applyFill="1" applyBorder="1" applyAlignment="1">
      <alignment horizontal="centerContinuous" vertical="center" wrapText="1"/>
    </xf>
    <xf numFmtId="0" fontId="80" fillId="10" borderId="31" xfId="0" applyFont="1" applyFill="1" applyBorder="1" applyAlignment="1">
      <alignment horizontal="centerContinuous" vertical="center" wrapText="1"/>
    </xf>
    <xf numFmtId="0" fontId="47" fillId="10" borderId="32" xfId="0" applyFont="1" applyFill="1" applyBorder="1" applyAlignment="1">
      <alignment horizontal="centerContinuous" vertical="center" wrapText="1"/>
    </xf>
    <xf numFmtId="0" fontId="80" fillId="10" borderId="33" xfId="0" applyFont="1" applyFill="1" applyBorder="1" applyAlignment="1">
      <alignment horizontal="centerContinuous" vertical="center" wrapText="1"/>
    </xf>
    <xf numFmtId="0" fontId="0" fillId="10" borderId="36" xfId="0" applyFill="1" applyBorder="1" applyAlignment="1">
      <alignment vertical="center"/>
    </xf>
    <xf numFmtId="0" fontId="0" fillId="10" borderId="1" xfId="0" applyFill="1" applyBorder="1" applyAlignment="1">
      <alignment vertical="center"/>
    </xf>
    <xf numFmtId="0" fontId="0" fillId="10" borderId="37" xfId="0" applyFill="1" applyBorder="1" applyAlignment="1">
      <alignment vertical="center"/>
    </xf>
    <xf numFmtId="0" fontId="11" fillId="10" borderId="40" xfId="0" applyFont="1" applyFill="1" applyBorder="1" applyAlignment="1">
      <alignment horizontal="centerContinuous" vertical="center" wrapText="1"/>
    </xf>
    <xf numFmtId="0" fontId="77" fillId="10" borderId="41" xfId="0" applyFont="1" applyFill="1" applyBorder="1" applyAlignment="1">
      <alignment horizontal="centerContinuous" vertical="center" wrapText="1"/>
    </xf>
    <xf numFmtId="0" fontId="11" fillId="10" borderId="42" xfId="0" quotePrefix="1" applyFont="1" applyFill="1" applyBorder="1" applyAlignment="1">
      <alignment horizontal="centerContinuous" vertical="center" wrapText="1"/>
    </xf>
    <xf numFmtId="0" fontId="77" fillId="10" borderId="43" xfId="0" applyFont="1" applyFill="1" applyBorder="1" applyAlignment="1">
      <alignment horizontal="centerContinuous" vertical="center" wrapText="1"/>
    </xf>
    <xf numFmtId="0" fontId="0" fillId="10" borderId="45" xfId="0" applyFill="1" applyBorder="1" applyAlignment="1">
      <alignment horizontal="left" vertical="center" indent="1"/>
    </xf>
    <xf numFmtId="0" fontId="0" fillId="10" borderId="46" xfId="0" applyFill="1" applyBorder="1" applyAlignment="1">
      <alignment horizontal="left" vertical="center" indent="1"/>
    </xf>
    <xf numFmtId="175" fontId="101" fillId="10" borderId="49" xfId="0" applyNumberFormat="1" applyFont="1" applyFill="1" applyBorder="1" applyAlignment="1">
      <alignment horizontal="right" vertical="center"/>
    </xf>
    <xf numFmtId="176" fontId="102" fillId="10" borderId="50" xfId="0" applyNumberFormat="1" applyFont="1" applyFill="1" applyBorder="1" applyAlignment="1">
      <alignment horizontal="right" vertical="center"/>
    </xf>
    <xf numFmtId="175" fontId="102" fillId="10" borderId="32" xfId="0" applyNumberFormat="1" applyFont="1" applyFill="1" applyBorder="1" applyAlignment="1">
      <alignment horizontal="right" vertical="center"/>
    </xf>
    <xf numFmtId="0" fontId="0" fillId="10" borderId="52" xfId="0" applyFill="1" applyBorder="1" applyAlignment="1">
      <alignment horizontal="left" vertical="center" indent="1"/>
    </xf>
    <xf numFmtId="0" fontId="0" fillId="10" borderId="53" xfId="0" applyFill="1" applyBorder="1" applyAlignment="1">
      <alignment horizontal="left" vertical="center" indent="1"/>
    </xf>
    <xf numFmtId="175" fontId="101" fillId="10" borderId="56" xfId="0" applyNumberFormat="1" applyFont="1" applyFill="1" applyBorder="1" applyAlignment="1">
      <alignment horizontal="right" vertical="center"/>
    </xf>
    <xf numFmtId="176" fontId="102" fillId="10" borderId="57" xfId="0" applyNumberFormat="1" applyFont="1" applyFill="1" applyBorder="1" applyAlignment="1">
      <alignment horizontal="right" vertical="center"/>
    </xf>
    <xf numFmtId="175" fontId="102" fillId="10" borderId="58" xfId="0" applyNumberFormat="1" applyFont="1" applyFill="1" applyBorder="1" applyAlignment="1">
      <alignment horizontal="right" vertical="center"/>
    </xf>
    <xf numFmtId="176" fontId="102" fillId="10" borderId="59" xfId="0" applyNumberFormat="1" applyFont="1" applyFill="1" applyBorder="1" applyAlignment="1">
      <alignment horizontal="right" vertical="center"/>
    </xf>
    <xf numFmtId="176" fontId="102" fillId="10" borderId="60" xfId="0" applyNumberFormat="1" applyFont="1" applyFill="1" applyBorder="1" applyAlignment="1">
      <alignment horizontal="right" vertical="center"/>
    </xf>
    <xf numFmtId="0" fontId="0" fillId="10" borderId="61" xfId="0" applyFill="1" applyBorder="1" applyAlignment="1">
      <alignment horizontal="left" vertical="center" indent="1"/>
    </xf>
    <xf numFmtId="0" fontId="0" fillId="10" borderId="62" xfId="0" applyFill="1" applyBorder="1" applyAlignment="1">
      <alignment horizontal="left" vertical="center" indent="1"/>
    </xf>
    <xf numFmtId="0" fontId="0" fillId="10" borderId="63" xfId="0" applyFill="1" applyBorder="1" applyAlignment="1">
      <alignment horizontal="left" vertical="center" indent="1"/>
    </xf>
    <xf numFmtId="0" fontId="0" fillId="10" borderId="64" xfId="0" applyFill="1" applyBorder="1" applyAlignment="1">
      <alignment horizontal="left" vertical="center" indent="1"/>
    </xf>
    <xf numFmtId="175" fontId="101" fillId="10" borderId="66" xfId="0" applyNumberFormat="1" applyFont="1" applyFill="1" applyBorder="1" applyAlignment="1">
      <alignment horizontal="right" vertical="center"/>
    </xf>
    <xf numFmtId="176" fontId="102" fillId="10" borderId="67" xfId="0" applyNumberFormat="1" applyFont="1" applyFill="1" applyBorder="1" applyAlignment="1">
      <alignment horizontal="right" vertical="center"/>
    </xf>
    <xf numFmtId="175" fontId="102" fillId="10" borderId="68" xfId="0" applyNumberFormat="1" applyFont="1" applyFill="1" applyBorder="1" applyAlignment="1">
      <alignment horizontal="right" vertical="center"/>
    </xf>
    <xf numFmtId="176" fontId="102" fillId="10" borderId="69" xfId="0" applyNumberFormat="1" applyFont="1" applyFill="1" applyBorder="1" applyAlignment="1">
      <alignment horizontal="right" vertical="center"/>
    </xf>
    <xf numFmtId="0" fontId="47" fillId="10" borderId="71" xfId="0" applyFont="1" applyFill="1" applyBorder="1" applyAlignment="1">
      <alignment horizontal="left" vertical="center" indent="1"/>
    </xf>
    <xf numFmtId="0" fontId="47" fillId="10" borderId="22" xfId="0" applyFont="1" applyFill="1" applyBorder="1" applyAlignment="1">
      <alignment horizontal="left" vertical="center" indent="1"/>
    </xf>
    <xf numFmtId="0" fontId="106" fillId="10" borderId="74" xfId="0" applyFont="1" applyFill="1" applyBorder="1" applyAlignment="1">
      <alignment horizontal="left" vertical="center" indent="2"/>
    </xf>
    <xf numFmtId="0" fontId="47" fillId="10" borderId="1" xfId="0" applyFont="1" applyFill="1" applyBorder="1" applyAlignment="1">
      <alignment horizontal="left" vertical="center" indent="1"/>
    </xf>
    <xf numFmtId="39" fontId="3" fillId="10" borderId="0" xfId="0" applyNumberFormat="1" applyFont="1" applyFill="1" applyAlignment="1">
      <alignment vertical="center"/>
    </xf>
    <xf numFmtId="167" fontId="3" fillId="10" borderId="0" xfId="0" applyNumberFormat="1" applyFont="1" applyFill="1" applyAlignment="1">
      <alignment horizontal="center" vertical="center"/>
    </xf>
    <xf numFmtId="8" fontId="31" fillId="10" borderId="0" xfId="0" applyNumberFormat="1" applyFont="1" applyFill="1" applyAlignment="1">
      <alignment horizontal="center" vertical="center"/>
    </xf>
    <xf numFmtId="8" fontId="35" fillId="10" borderId="0" xfId="0" applyNumberFormat="1" applyFont="1" applyFill="1" applyAlignment="1">
      <alignment horizontal="center" vertical="center"/>
    </xf>
    <xf numFmtId="0" fontId="40" fillId="10" borderId="0" xfId="0" applyFont="1" applyFill="1" applyAlignment="1">
      <alignment vertical="center"/>
    </xf>
    <xf numFmtId="170" fontId="56" fillId="10" borderId="0" xfId="0" applyNumberFormat="1" applyFont="1" applyFill="1" applyAlignment="1">
      <alignment horizontal="center" vertical="center"/>
    </xf>
    <xf numFmtId="0" fontId="3" fillId="10" borderId="0" xfId="0" applyFont="1" applyFill="1"/>
    <xf numFmtId="0" fontId="62" fillId="10" borderId="0" xfId="0" applyFont="1" applyFill="1" applyAlignment="1">
      <alignment vertical="center"/>
    </xf>
    <xf numFmtId="0" fontId="63" fillId="10" borderId="0" xfId="0" applyFont="1" applyFill="1" applyAlignment="1">
      <alignment vertical="center"/>
    </xf>
    <xf numFmtId="0" fontId="66" fillId="10" borderId="0" xfId="0" quotePrefix="1" applyFont="1" applyFill="1" applyAlignment="1">
      <alignment horizontal="center" vertical="center"/>
    </xf>
    <xf numFmtId="7" fontId="3" fillId="10" borderId="0" xfId="0" applyNumberFormat="1" applyFont="1" applyFill="1" applyAlignment="1">
      <alignment horizontal="center" vertical="center"/>
    </xf>
    <xf numFmtId="0" fontId="79" fillId="10" borderId="0" xfId="0" applyFont="1" applyFill="1" applyAlignment="1">
      <alignment vertical="center"/>
    </xf>
    <xf numFmtId="166" fontId="81" fillId="10" borderId="0" xfId="0" applyNumberFormat="1" applyFont="1" applyFill="1" applyAlignment="1">
      <alignment horizontal="center" vertical="center"/>
    </xf>
    <xf numFmtId="0" fontId="81" fillId="10" borderId="0" xfId="0" applyFont="1" applyFill="1" applyAlignment="1">
      <alignment vertical="center"/>
    </xf>
    <xf numFmtId="0" fontId="85" fillId="10" borderId="0" xfId="0" applyFont="1" applyFill="1" applyAlignment="1">
      <alignment vertical="center"/>
    </xf>
    <xf numFmtId="0" fontId="86" fillId="10" borderId="0" xfId="0" applyFont="1" applyFill="1" applyAlignment="1">
      <alignment vertical="center"/>
    </xf>
    <xf numFmtId="0" fontId="83" fillId="10" borderId="0" xfId="0" applyFont="1" applyFill="1"/>
    <xf numFmtId="0" fontId="87" fillId="10" borderId="0" xfId="0" applyFont="1" applyFill="1"/>
    <xf numFmtId="173" fontId="3" fillId="10" borderId="0" xfId="0" applyNumberFormat="1" applyFont="1" applyFill="1" applyAlignment="1">
      <alignment horizontal="center" vertical="center"/>
    </xf>
    <xf numFmtId="0" fontId="90" fillId="10" borderId="0" xfId="0" applyFont="1" applyFill="1"/>
    <xf numFmtId="0" fontId="92" fillId="10" borderId="0" xfId="0" applyFont="1" applyFill="1"/>
    <xf numFmtId="0" fontId="3" fillId="10" borderId="0" xfId="0" applyFont="1" applyFill="1" applyAlignment="1">
      <alignment vertical="center"/>
    </xf>
    <xf numFmtId="165" fontId="3" fillId="10" borderId="0" xfId="0" applyNumberFormat="1" applyFont="1" applyFill="1" applyAlignment="1">
      <alignment horizontal="center" vertical="center"/>
    </xf>
    <xf numFmtId="10" fontId="3" fillId="10" borderId="0" xfId="0" applyNumberFormat="1" applyFont="1" applyFill="1" applyAlignment="1">
      <alignment horizontal="center" vertical="center"/>
    </xf>
    <xf numFmtId="171" fontId="0" fillId="10" borderId="0" xfId="0" applyNumberFormat="1" applyFill="1" applyAlignment="1">
      <alignment horizontal="center" vertical="center"/>
    </xf>
    <xf numFmtId="7" fontId="0" fillId="10" borderId="0" xfId="0" applyNumberFormat="1" applyFill="1" applyAlignment="1">
      <alignment horizontal="center" vertical="center"/>
    </xf>
    <xf numFmtId="0" fontId="31" fillId="10" borderId="0" xfId="0" applyFont="1" applyFill="1" applyAlignment="1">
      <alignment vertical="center"/>
    </xf>
    <xf numFmtId="165" fontId="71" fillId="10" borderId="0" xfId="0" applyNumberFormat="1" applyFont="1" applyFill="1" applyAlignment="1">
      <alignment horizontal="center" vertical="center"/>
    </xf>
    <xf numFmtId="0" fontId="0" fillId="10" borderId="0" xfId="0" applyFill="1" applyAlignment="1">
      <alignment horizontal="center" vertical="center"/>
    </xf>
    <xf numFmtId="9" fontId="49" fillId="10" borderId="0" xfId="0" applyNumberFormat="1" applyFont="1" applyFill="1" applyAlignment="1">
      <alignment vertical="center"/>
    </xf>
    <xf numFmtId="5" fontId="0" fillId="10" borderId="0" xfId="0" applyNumberFormat="1" applyFill="1"/>
    <xf numFmtId="0" fontId="49" fillId="10" borderId="0" xfId="0" applyFont="1" applyFill="1" applyAlignment="1">
      <alignment vertical="center"/>
    </xf>
    <xf numFmtId="0" fontId="49" fillId="10" borderId="0" xfId="0" applyFont="1" applyFill="1"/>
    <xf numFmtId="166" fontId="0" fillId="10" borderId="0" xfId="0" applyNumberFormat="1" applyFill="1" applyAlignment="1">
      <alignment horizontal="center" vertical="center"/>
    </xf>
    <xf numFmtId="165" fontId="0" fillId="10" borderId="0" xfId="0" applyNumberFormat="1" applyFill="1"/>
    <xf numFmtId="0" fontId="76" fillId="10" borderId="0" xfId="0" applyFont="1" applyFill="1" applyAlignment="1">
      <alignment horizontal="center" vertical="center" wrapText="1"/>
    </xf>
    <xf numFmtId="10" fontId="0" fillId="10" borderId="0" xfId="0" applyNumberFormat="1" applyFill="1" applyAlignment="1">
      <alignment horizontal="center" vertical="center"/>
    </xf>
    <xf numFmtId="5" fontId="0" fillId="10" borderId="0" xfId="0" applyNumberFormat="1" applyFill="1" applyAlignment="1">
      <alignment vertical="center"/>
    </xf>
    <xf numFmtId="0" fontId="5" fillId="10" borderId="0" xfId="0" applyFont="1" applyFill="1"/>
    <xf numFmtId="5" fontId="77" fillId="10" borderId="0" xfId="0" applyNumberFormat="1" applyFont="1" applyFill="1" applyAlignment="1">
      <alignment horizontal="right" vertical="center"/>
    </xf>
    <xf numFmtId="7" fontId="78" fillId="10" borderId="0" xfId="0" applyNumberFormat="1" applyFont="1" applyFill="1" applyAlignment="1">
      <alignment horizontal="right" vertical="center"/>
    </xf>
    <xf numFmtId="0" fontId="3" fillId="10" borderId="0" xfId="0" applyFont="1" applyFill="1" applyAlignment="1">
      <alignment horizontal="center" vertical="center"/>
    </xf>
    <xf numFmtId="7" fontId="77" fillId="10" borderId="0" xfId="0" applyNumberFormat="1" applyFont="1" applyFill="1" applyAlignment="1">
      <alignment horizontal="right" vertical="center"/>
    </xf>
    <xf numFmtId="0" fontId="83" fillId="10" borderId="0" xfId="0" applyFont="1" applyFill="1" applyAlignment="1">
      <alignment vertical="center"/>
    </xf>
    <xf numFmtId="0" fontId="84" fillId="10" borderId="0" xfId="0" quotePrefix="1" applyFont="1" applyFill="1" applyAlignment="1">
      <alignment horizontal="center" vertical="center"/>
    </xf>
    <xf numFmtId="0" fontId="3" fillId="10" borderId="0" xfId="0" applyFont="1" applyFill="1" applyBorder="1"/>
    <xf numFmtId="0" fontId="83" fillId="10" borderId="0" xfId="0" quotePrefix="1" applyFont="1" applyFill="1"/>
    <xf numFmtId="0" fontId="84" fillId="10" borderId="0" xfId="0" applyFont="1" applyFill="1" applyAlignment="1">
      <alignment horizontal="center" vertical="center"/>
    </xf>
    <xf numFmtId="0" fontId="89" fillId="10" borderId="0" xfId="0" applyFont="1" applyFill="1" applyBorder="1" applyAlignment="1">
      <alignment horizontal="left" vertical="top"/>
    </xf>
    <xf numFmtId="0" fontId="89" fillId="10" borderId="0" xfId="0" applyFont="1" applyFill="1" applyBorder="1" applyAlignment="1">
      <alignment horizontal="left" vertical="center"/>
    </xf>
    <xf numFmtId="0" fontId="1" fillId="10" borderId="0" xfId="0" applyFont="1" applyFill="1"/>
    <xf numFmtId="0" fontId="94" fillId="10" borderId="0" xfId="0" applyFont="1" applyFill="1" applyAlignment="1">
      <alignment vertical="center"/>
    </xf>
    <xf numFmtId="0" fontId="76" fillId="10" borderId="0" xfId="0" quotePrefix="1" applyFont="1" applyFill="1" applyAlignment="1">
      <alignment horizontal="center" vertical="center"/>
    </xf>
    <xf numFmtId="0" fontId="99" fillId="10" borderId="0" xfId="0" applyFont="1" applyFill="1" applyBorder="1" applyAlignment="1">
      <alignment horizontal="center" vertical="center"/>
    </xf>
    <xf numFmtId="0" fontId="95" fillId="10" borderId="0" xfId="0" applyFont="1" applyFill="1" applyBorder="1" applyAlignment="1">
      <alignment horizontal="center"/>
    </xf>
    <xf numFmtId="0" fontId="101" fillId="10" borderId="0" xfId="0" applyFont="1" applyFill="1"/>
    <xf numFmtId="0" fontId="103" fillId="10" borderId="0" xfId="0" applyFont="1" applyFill="1"/>
    <xf numFmtId="7" fontId="0" fillId="10" borderId="0" xfId="0" applyNumberFormat="1" applyFill="1" applyAlignment="1">
      <alignment vertical="center"/>
    </xf>
    <xf numFmtId="7" fontId="103" fillId="10" borderId="0" xfId="0" applyNumberFormat="1" applyFont="1" applyFill="1"/>
    <xf numFmtId="0" fontId="105" fillId="10" borderId="0" xfId="0" applyFont="1" applyFill="1"/>
    <xf numFmtId="10" fontId="0" fillId="10" borderId="0" xfId="0" applyNumberFormat="1" applyFill="1"/>
    <xf numFmtId="6" fontId="0" fillId="10" borderId="0" xfId="0" applyNumberFormat="1" applyFill="1"/>
    <xf numFmtId="6" fontId="0" fillId="10" borderId="0" xfId="0" applyNumberFormat="1" applyFill="1" applyAlignment="1">
      <alignment vertical="center"/>
    </xf>
    <xf numFmtId="0" fontId="19" fillId="10" borderId="0" xfId="0" applyFont="1" applyFill="1" applyAlignment="1">
      <alignment horizontal="center" vertical="center"/>
    </xf>
    <xf numFmtId="0" fontId="19" fillId="10" borderId="0" xfId="0" applyFont="1" applyFill="1" applyAlignment="1">
      <alignment horizontal="center"/>
    </xf>
    <xf numFmtId="7" fontId="0" fillId="10" borderId="0" xfId="0" applyNumberFormat="1" applyFill="1"/>
    <xf numFmtId="178" fontId="0" fillId="10" borderId="0" xfId="0" applyNumberFormat="1" applyFill="1"/>
    <xf numFmtId="5" fontId="115" fillId="10" borderId="0" xfId="0" applyNumberFormat="1" applyFont="1" applyFill="1" applyAlignment="1">
      <alignment vertical="center"/>
    </xf>
    <xf numFmtId="7" fontId="29" fillId="10" borderId="0" xfId="0" applyNumberFormat="1" applyFont="1" applyFill="1" applyAlignment="1">
      <alignment horizontal="center" vertical="center"/>
    </xf>
    <xf numFmtId="8" fontId="0" fillId="10" borderId="0" xfId="0" applyNumberFormat="1" applyFill="1" applyAlignment="1">
      <alignment vertical="center"/>
    </xf>
    <xf numFmtId="7" fontId="19" fillId="10" borderId="0" xfId="0" applyNumberFormat="1" applyFont="1" applyFill="1" applyAlignment="1">
      <alignment vertical="center"/>
    </xf>
    <xf numFmtId="0" fontId="5" fillId="10" borderId="0" xfId="0" applyFont="1" applyFill="1" applyAlignment="1">
      <alignment horizontal="center" vertical="center"/>
    </xf>
    <xf numFmtId="0" fontId="108" fillId="10" borderId="0" xfId="0" applyFont="1" applyFill="1" applyAlignment="1">
      <alignment horizontal="centerContinuous" vertical="center"/>
    </xf>
    <xf numFmtId="0" fontId="109" fillId="10" borderId="0" xfId="0" applyFont="1" applyFill="1" applyAlignment="1">
      <alignment horizontal="centerContinuous" vertical="center"/>
    </xf>
    <xf numFmtId="0" fontId="0" fillId="10" borderId="21" xfId="0" applyFill="1" applyBorder="1" applyAlignment="1">
      <alignment vertical="center"/>
    </xf>
    <xf numFmtId="0" fontId="0" fillId="10" borderId="22" xfId="0" applyFill="1" applyBorder="1" applyAlignment="1">
      <alignment vertical="center"/>
    </xf>
    <xf numFmtId="0" fontId="0" fillId="10" borderId="75" xfId="0" applyFill="1" applyBorder="1" applyAlignment="1">
      <alignment horizontal="center" vertical="center"/>
    </xf>
    <xf numFmtId="0" fontId="0" fillId="10" borderId="22" xfId="0" applyFill="1" applyBorder="1" applyAlignment="1">
      <alignment horizontal="center" vertical="center"/>
    </xf>
    <xf numFmtId="0" fontId="0" fillId="10" borderId="9" xfId="0" applyFill="1" applyBorder="1" applyAlignment="1">
      <alignment horizontal="center" vertical="center"/>
    </xf>
    <xf numFmtId="0" fontId="0" fillId="10" borderId="76" xfId="0" applyFill="1" applyBorder="1" applyAlignment="1">
      <alignment horizontal="left" vertical="center" indent="1"/>
    </xf>
    <xf numFmtId="0" fontId="0" fillId="10" borderId="0" xfId="0" applyFill="1" applyBorder="1" applyAlignment="1">
      <alignment horizontal="left" vertical="center" indent="1"/>
    </xf>
    <xf numFmtId="5" fontId="93" fillId="10" borderId="77" xfId="0" applyNumberFormat="1" applyFont="1" applyFill="1" applyBorder="1" applyAlignment="1">
      <alignment vertical="center"/>
    </xf>
    <xf numFmtId="5" fontId="0" fillId="10" borderId="0" xfId="0" applyNumberFormat="1" applyFill="1" applyBorder="1" applyAlignment="1">
      <alignment vertical="center"/>
    </xf>
    <xf numFmtId="5" fontId="93" fillId="10" borderId="78" xfId="0" applyNumberFormat="1" applyFont="1" applyFill="1" applyBorder="1" applyAlignment="1">
      <alignment vertical="center"/>
    </xf>
    <xf numFmtId="166" fontId="112" fillId="10" borderId="77" xfId="0" applyNumberFormat="1" applyFont="1" applyFill="1" applyBorder="1" applyAlignment="1">
      <alignment vertical="center"/>
    </xf>
    <xf numFmtId="10" fontId="112" fillId="10" borderId="0" xfId="0" applyNumberFormat="1" applyFont="1" applyFill="1" applyBorder="1" applyAlignment="1">
      <alignment vertical="center"/>
    </xf>
    <xf numFmtId="166" fontId="0" fillId="10" borderId="78" xfId="0" applyNumberFormat="1" applyFill="1" applyBorder="1" applyAlignment="1">
      <alignment vertical="center"/>
    </xf>
    <xf numFmtId="177" fontId="107" fillId="10" borderId="77" xfId="0" applyNumberFormat="1" applyFont="1" applyFill="1" applyBorder="1" applyAlignment="1">
      <alignment vertical="center"/>
    </xf>
    <xf numFmtId="177" fontId="114" fillId="10" borderId="0" xfId="0" applyNumberFormat="1" applyFont="1" applyFill="1" applyBorder="1" applyAlignment="1">
      <alignment vertical="center"/>
    </xf>
    <xf numFmtId="177" fontId="77" fillId="10" borderId="78" xfId="0" applyNumberFormat="1" applyFont="1" applyFill="1" applyBorder="1" applyAlignment="1">
      <alignment vertical="center"/>
    </xf>
    <xf numFmtId="0" fontId="19" fillId="10" borderId="0" xfId="0" applyFont="1" applyFill="1"/>
    <xf numFmtId="8" fontId="74" fillId="10" borderId="77" xfId="0" applyNumberFormat="1" applyFont="1" applyFill="1" applyBorder="1" applyAlignment="1">
      <alignment vertical="center"/>
    </xf>
    <xf numFmtId="8" fontId="0" fillId="10" borderId="0" xfId="0" applyNumberFormat="1" applyFill="1" applyBorder="1" applyAlignment="1">
      <alignment vertical="center"/>
    </xf>
    <xf numFmtId="8" fontId="74" fillId="10" borderId="78" xfId="0" applyNumberFormat="1" applyFont="1" applyFill="1" applyBorder="1" applyAlignment="1">
      <alignment vertical="center"/>
    </xf>
    <xf numFmtId="0" fontId="0" fillId="10" borderId="36" xfId="0" applyFill="1" applyBorder="1" applyAlignment="1">
      <alignment horizontal="left" vertical="center" indent="1"/>
    </xf>
    <xf numFmtId="0" fontId="0" fillId="10" borderId="1" xfId="0" applyFill="1" applyBorder="1" applyAlignment="1">
      <alignment horizontal="left" vertical="center" indent="1"/>
    </xf>
    <xf numFmtId="6" fontId="11" fillId="10" borderId="79" xfId="0" applyNumberFormat="1" applyFont="1" applyFill="1" applyBorder="1" applyAlignment="1">
      <alignment vertical="center"/>
    </xf>
    <xf numFmtId="6" fontId="11" fillId="10" borderId="1" xfId="0" applyNumberFormat="1" applyFont="1" applyFill="1" applyBorder="1" applyAlignment="1">
      <alignment vertical="center"/>
    </xf>
    <xf numFmtId="6" fontId="11" fillId="10" borderId="80" xfId="0" applyNumberFormat="1" applyFont="1" applyFill="1" applyBorder="1" applyAlignment="1">
      <alignment vertical="center"/>
    </xf>
    <xf numFmtId="6" fontId="11" fillId="10" borderId="0" xfId="0" applyNumberFormat="1" applyFont="1" applyFill="1"/>
    <xf numFmtId="6" fontId="11" fillId="10" borderId="77" xfId="0" applyNumberFormat="1" applyFont="1" applyFill="1" applyBorder="1" applyAlignment="1">
      <alignment vertical="center"/>
    </xf>
    <xf numFmtId="6" fontId="11" fillId="10" borderId="0" xfId="0" applyNumberFormat="1" applyFont="1" applyFill="1" applyBorder="1" applyAlignment="1">
      <alignment vertical="center"/>
    </xf>
    <xf numFmtId="6" fontId="11" fillId="10" borderId="78" xfId="0" applyNumberFormat="1" applyFont="1" applyFill="1" applyBorder="1" applyAlignment="1">
      <alignment vertical="center"/>
    </xf>
    <xf numFmtId="0" fontId="80" fillId="10" borderId="81" xfId="0" applyFont="1" applyFill="1" applyBorder="1" applyAlignment="1">
      <alignment horizontal="left" vertical="center" indent="1"/>
    </xf>
    <xf numFmtId="0" fontId="80" fillId="10" borderId="34" xfId="0" applyFont="1" applyFill="1" applyBorder="1" applyAlignment="1">
      <alignment horizontal="left" vertical="center" indent="1"/>
    </xf>
    <xf numFmtId="6" fontId="80" fillId="10" borderId="82" xfId="0" applyNumberFormat="1" applyFont="1" applyFill="1" applyBorder="1" applyAlignment="1">
      <alignment vertical="center"/>
    </xf>
    <xf numFmtId="6" fontId="64" fillId="10" borderId="34" xfId="0" applyNumberFormat="1" applyFont="1" applyFill="1" applyBorder="1" applyAlignment="1">
      <alignment vertical="center"/>
    </xf>
    <xf numFmtId="6" fontId="80" fillId="10" borderId="83" xfId="0" applyNumberFormat="1" applyFont="1" applyFill="1" applyBorder="1" applyAlignment="1">
      <alignment vertical="center"/>
    </xf>
    <xf numFmtId="10" fontId="0" fillId="10" borderId="77" xfId="0" applyNumberFormat="1" applyFill="1" applyBorder="1" applyAlignment="1">
      <alignment vertical="center"/>
    </xf>
    <xf numFmtId="10" fontId="0" fillId="10" borderId="0" xfId="0" applyNumberFormat="1" applyFill="1" applyBorder="1" applyAlignment="1">
      <alignment vertical="center"/>
    </xf>
    <xf numFmtId="10" fontId="0" fillId="10" borderId="78" xfId="0" applyNumberFormat="1" applyFill="1" applyBorder="1" applyAlignment="1">
      <alignment vertical="center"/>
    </xf>
    <xf numFmtId="0" fontId="80" fillId="10" borderId="76" xfId="0" applyFont="1" applyFill="1" applyBorder="1" applyAlignment="1">
      <alignment horizontal="left" vertical="center" indent="1"/>
    </xf>
    <xf numFmtId="0" fontId="80" fillId="10" borderId="0" xfId="0" applyFont="1" applyFill="1" applyBorder="1" applyAlignment="1">
      <alignment horizontal="left" vertical="center" indent="1"/>
    </xf>
    <xf numFmtId="6" fontId="47" fillId="10" borderId="77" xfId="0" applyNumberFormat="1" applyFont="1" applyFill="1" applyBorder="1" applyAlignment="1">
      <alignment vertical="center"/>
    </xf>
    <xf numFmtId="8" fontId="80" fillId="10" borderId="0" xfId="0" applyNumberFormat="1" applyFont="1" applyFill="1" applyBorder="1" applyAlignment="1">
      <alignment vertical="center"/>
    </xf>
    <xf numFmtId="8" fontId="0" fillId="10" borderId="78" xfId="0" applyNumberFormat="1" applyFill="1" applyBorder="1" applyAlignment="1">
      <alignment vertical="center"/>
    </xf>
    <xf numFmtId="8" fontId="86" fillId="10" borderId="0" xfId="0" applyNumberFormat="1" applyFont="1" applyFill="1" applyAlignment="1">
      <alignment vertical="center"/>
    </xf>
    <xf numFmtId="8" fontId="11" fillId="10" borderId="77" xfId="0" applyNumberFormat="1" applyFont="1" applyFill="1" applyBorder="1" applyAlignment="1">
      <alignment vertical="center"/>
    </xf>
    <xf numFmtId="8" fontId="11" fillId="10" borderId="0" xfId="0" applyNumberFormat="1" applyFont="1" applyFill="1" applyBorder="1" applyAlignment="1">
      <alignment vertical="center"/>
    </xf>
    <xf numFmtId="8" fontId="11" fillId="10" borderId="78" xfId="0" applyNumberFormat="1" applyFont="1" applyFill="1" applyBorder="1" applyAlignment="1">
      <alignment vertical="center"/>
    </xf>
    <xf numFmtId="5" fontId="115" fillId="10" borderId="77" xfId="0" applyNumberFormat="1" applyFont="1" applyFill="1" applyBorder="1" applyAlignment="1">
      <alignment vertical="center"/>
    </xf>
    <xf numFmtId="5" fontId="115" fillId="10" borderId="0" xfId="0" applyNumberFormat="1" applyFont="1" applyFill="1" applyBorder="1" applyAlignment="1">
      <alignment vertical="center"/>
    </xf>
    <xf numFmtId="5" fontId="0" fillId="10" borderId="78" xfId="0" applyNumberFormat="1" applyFill="1" applyBorder="1" applyAlignment="1">
      <alignment vertical="center"/>
    </xf>
    <xf numFmtId="5" fontId="0" fillId="10" borderId="77" xfId="0" applyNumberFormat="1" applyFill="1" applyBorder="1" applyAlignment="1">
      <alignment vertical="center"/>
    </xf>
    <xf numFmtId="7" fontId="116" fillId="10" borderId="0" xfId="0" applyNumberFormat="1" applyFont="1" applyFill="1" applyAlignment="1">
      <alignment vertical="center"/>
    </xf>
    <xf numFmtId="0" fontId="116" fillId="10" borderId="0" xfId="0" applyFont="1" applyFill="1" applyAlignment="1">
      <alignment vertical="center"/>
    </xf>
    <xf numFmtId="7" fontId="96" fillId="10" borderId="0" xfId="0" applyNumberFormat="1" applyFont="1" applyFill="1" applyAlignment="1">
      <alignment horizontal="center" vertical="center"/>
    </xf>
    <xf numFmtId="7" fontId="3" fillId="10" borderId="0" xfId="0" applyNumberFormat="1" applyFont="1" applyFill="1" applyAlignment="1">
      <alignment vertical="center"/>
    </xf>
    <xf numFmtId="6" fontId="44" fillId="10" borderId="78" xfId="0" applyNumberFormat="1" applyFont="1" applyFill="1" applyBorder="1" applyAlignment="1">
      <alignment vertical="center"/>
    </xf>
    <xf numFmtId="5" fontId="80" fillId="10" borderId="77" xfId="0" applyNumberFormat="1" applyFont="1" applyFill="1" applyBorder="1" applyAlignment="1">
      <alignment vertical="center"/>
    </xf>
    <xf numFmtId="5" fontId="80" fillId="10" borderId="0" xfId="0" applyNumberFormat="1" applyFont="1" applyFill="1" applyBorder="1" applyAlignment="1">
      <alignment vertical="center"/>
    </xf>
    <xf numFmtId="5" fontId="80" fillId="10" borderId="78" xfId="0" applyNumberFormat="1" applyFont="1" applyFill="1" applyBorder="1" applyAlignment="1">
      <alignment vertical="center"/>
    </xf>
    <xf numFmtId="0" fontId="80" fillId="10" borderId="36" xfId="0" applyFont="1" applyFill="1" applyBorder="1" applyAlignment="1">
      <alignment horizontal="left" vertical="center" indent="1"/>
    </xf>
    <xf numFmtId="0" fontId="80" fillId="10" borderId="1" xfId="0" applyFont="1" applyFill="1" applyBorder="1" applyAlignment="1">
      <alignment horizontal="left" vertical="center" indent="1"/>
    </xf>
    <xf numFmtId="7" fontId="80" fillId="10" borderId="79" xfId="0" applyNumberFormat="1" applyFont="1" applyFill="1" applyBorder="1" applyAlignment="1">
      <alignment vertical="center"/>
    </xf>
    <xf numFmtId="7" fontId="80" fillId="10" borderId="1" xfId="0" applyNumberFormat="1" applyFont="1" applyFill="1" applyBorder="1" applyAlignment="1">
      <alignment vertical="center"/>
    </xf>
    <xf numFmtId="8" fontId="0" fillId="10" borderId="80" xfId="0" applyNumberFormat="1" applyFill="1" applyBorder="1" applyAlignment="1">
      <alignment vertical="center"/>
    </xf>
    <xf numFmtId="0" fontId="0" fillId="10" borderId="77" xfId="0" applyFill="1" applyBorder="1" applyAlignment="1">
      <alignment vertical="center"/>
    </xf>
    <xf numFmtId="0" fontId="0" fillId="10" borderId="0" xfId="0" applyFill="1" applyBorder="1" applyAlignment="1">
      <alignment vertical="center"/>
    </xf>
    <xf numFmtId="0" fontId="0" fillId="10" borderId="78" xfId="0" applyFill="1" applyBorder="1" applyAlignment="1">
      <alignment vertical="center"/>
    </xf>
    <xf numFmtId="8" fontId="80" fillId="10" borderId="34" xfId="0" applyNumberFormat="1" applyFont="1" applyFill="1" applyBorder="1" applyAlignment="1">
      <alignment vertical="center"/>
    </xf>
    <xf numFmtId="9" fontId="0" fillId="10" borderId="0" xfId="0" applyNumberFormat="1" applyFill="1"/>
    <xf numFmtId="6" fontId="0" fillId="10" borderId="78" xfId="0" applyNumberFormat="1" applyFill="1" applyBorder="1" applyAlignment="1">
      <alignment vertical="center"/>
    </xf>
    <xf numFmtId="0" fontId="80" fillId="10" borderId="0" xfId="0" applyFont="1" applyFill="1" applyAlignment="1">
      <alignment vertical="center"/>
    </xf>
    <xf numFmtId="6" fontId="80" fillId="10" borderId="0" xfId="0" applyNumberFormat="1" applyFont="1" applyFill="1" applyAlignment="1">
      <alignment vertical="center"/>
    </xf>
    <xf numFmtId="10" fontId="0" fillId="10" borderId="0" xfId="0" applyNumberFormat="1" applyFill="1" applyAlignment="1">
      <alignment vertical="center"/>
    </xf>
    <xf numFmtId="8" fontId="80" fillId="10" borderId="0" xfId="0" applyNumberFormat="1" applyFont="1" applyFill="1" applyAlignment="1">
      <alignment vertical="center"/>
    </xf>
    <xf numFmtId="0" fontId="0" fillId="10" borderId="0" xfId="0" applyFill="1" applyBorder="1" applyAlignment="1">
      <alignment horizontal="left" vertical="center"/>
    </xf>
    <xf numFmtId="5" fontId="80" fillId="10" borderId="0" xfId="0" applyNumberFormat="1" applyFont="1" applyFill="1" applyAlignment="1">
      <alignment vertical="center"/>
    </xf>
    <xf numFmtId="7" fontId="80" fillId="10" borderId="0" xfId="0" applyNumberFormat="1" applyFont="1" applyFill="1" applyAlignment="1">
      <alignment vertical="center"/>
    </xf>
    <xf numFmtId="0" fontId="120" fillId="10" borderId="0" xfId="0" applyFont="1" applyFill="1" applyBorder="1" applyAlignment="1">
      <alignment vertical="center"/>
    </xf>
    <xf numFmtId="10" fontId="121" fillId="10" borderId="0" xfId="0" applyNumberFormat="1" applyFont="1" applyFill="1" applyBorder="1" applyAlignment="1">
      <alignment vertical="center"/>
    </xf>
    <xf numFmtId="10" fontId="120" fillId="10" borderId="0" xfId="0" applyNumberFormat="1" applyFont="1" applyFill="1" applyBorder="1" applyAlignment="1">
      <alignment vertical="center"/>
    </xf>
    <xf numFmtId="0" fontId="0" fillId="10" borderId="0" xfId="0" applyFill="1" applyAlignment="1">
      <alignment horizontal="left" vertical="center" indent="1"/>
    </xf>
    <xf numFmtId="6" fontId="112" fillId="10" borderId="0" xfId="0" applyNumberFormat="1" applyFont="1" applyFill="1" applyAlignment="1">
      <alignment vertical="center"/>
    </xf>
    <xf numFmtId="0" fontId="93" fillId="10" borderId="0" xfId="0" applyFont="1" applyFill="1" applyAlignment="1">
      <alignment vertical="center"/>
    </xf>
    <xf numFmtId="8" fontId="3" fillId="10" borderId="0" xfId="0" applyNumberFormat="1" applyFont="1" applyFill="1" applyAlignment="1">
      <alignment vertical="center"/>
    </xf>
    <xf numFmtId="0" fontId="11" fillId="10" borderId="0" xfId="0" applyFont="1" applyFill="1" applyBorder="1" applyAlignment="1">
      <alignment horizontal="left" vertical="center" indent="1"/>
    </xf>
    <xf numFmtId="7" fontId="11" fillId="10" borderId="0" xfId="0" applyNumberFormat="1" applyFont="1" applyFill="1" applyBorder="1" applyAlignment="1">
      <alignment vertical="center"/>
    </xf>
    <xf numFmtId="5" fontId="122" fillId="10" borderId="0" xfId="0" applyNumberFormat="1" applyFont="1" applyFill="1" applyBorder="1" applyAlignment="1">
      <alignment vertical="center"/>
    </xf>
    <xf numFmtId="10" fontId="123" fillId="10" borderId="0" xfId="0" applyNumberFormat="1" applyFont="1" applyFill="1" applyBorder="1" applyAlignment="1">
      <alignment horizontal="center" vertical="center"/>
    </xf>
    <xf numFmtId="10" fontId="124" fillId="10" borderId="0" xfId="0" applyNumberFormat="1" applyFont="1" applyFill="1" applyAlignment="1">
      <alignment horizontal="center" vertical="center"/>
    </xf>
    <xf numFmtId="7" fontId="125" fillId="10" borderId="0" xfId="0" applyNumberFormat="1" applyFont="1" applyFill="1" applyBorder="1" applyAlignment="1">
      <alignment vertical="center"/>
    </xf>
    <xf numFmtId="5" fontId="52" fillId="10" borderId="0" xfId="0" applyNumberFormat="1" applyFont="1" applyFill="1" applyBorder="1" applyAlignment="1">
      <alignment horizontal="centerContinuous" vertical="center"/>
    </xf>
    <xf numFmtId="5" fontId="47" fillId="10" borderId="0" xfId="0" applyNumberFormat="1" applyFont="1" applyFill="1" applyBorder="1" applyAlignment="1">
      <alignment horizontal="centerContinuous" vertical="center"/>
    </xf>
    <xf numFmtId="5" fontId="80" fillId="10" borderId="0" xfId="0" applyNumberFormat="1" applyFont="1" applyFill="1" applyBorder="1" applyAlignment="1">
      <alignment horizontal="center" vertical="center"/>
    </xf>
    <xf numFmtId="7" fontId="77" fillId="10" borderId="0" xfId="0" applyNumberFormat="1" applyFont="1" applyFill="1" applyAlignment="1">
      <alignment vertical="center"/>
    </xf>
    <xf numFmtId="165" fontId="81" fillId="10" borderId="0" xfId="0" applyNumberFormat="1" applyFont="1" applyFill="1" applyAlignment="1">
      <alignment horizontal="center" vertical="center"/>
    </xf>
    <xf numFmtId="5" fontId="19" fillId="10" borderId="0" xfId="0" applyNumberFormat="1" applyFont="1" applyFill="1" applyAlignment="1">
      <alignment vertical="center"/>
    </xf>
    <xf numFmtId="5" fontId="64" fillId="10" borderId="0" xfId="0" applyNumberFormat="1" applyFont="1" applyFill="1" applyAlignment="1">
      <alignment vertical="center"/>
    </xf>
    <xf numFmtId="5" fontId="64" fillId="10" borderId="0" xfId="0" applyNumberFormat="1" applyFont="1" applyFill="1" applyBorder="1" applyAlignment="1">
      <alignment vertical="center"/>
    </xf>
    <xf numFmtId="164" fontId="0" fillId="10" borderId="0" xfId="0" applyNumberFormat="1" applyFill="1" applyAlignment="1">
      <alignment horizontal="center" vertical="center"/>
    </xf>
    <xf numFmtId="5" fontId="93" fillId="10" borderId="0" xfId="0" applyNumberFormat="1" applyFont="1" applyFill="1"/>
    <xf numFmtId="166" fontId="0" fillId="10" borderId="0" xfId="0" applyNumberFormat="1" applyFill="1" applyAlignment="1">
      <alignment vertical="center"/>
    </xf>
    <xf numFmtId="5" fontId="93" fillId="10" borderId="0" xfId="0" applyNumberFormat="1" applyFont="1" applyFill="1" applyAlignment="1">
      <alignment vertical="center"/>
    </xf>
    <xf numFmtId="5" fontId="0" fillId="10" borderId="0" xfId="0" applyNumberFormat="1" applyFill="1" applyAlignment="1">
      <alignment horizontal="center" vertical="center"/>
    </xf>
    <xf numFmtId="171" fontId="86" fillId="10" borderId="0" xfId="0" applyNumberFormat="1" applyFont="1" applyFill="1" applyAlignment="1">
      <alignment horizontal="center" vertical="center"/>
    </xf>
    <xf numFmtId="8" fontId="93" fillId="10" borderId="0" xfId="0" applyNumberFormat="1" applyFont="1" applyFill="1" applyAlignment="1">
      <alignment vertical="center"/>
    </xf>
    <xf numFmtId="5" fontId="77" fillId="10" borderId="0" xfId="0" applyNumberFormat="1" applyFont="1" applyFill="1" applyAlignment="1">
      <alignment vertical="center"/>
    </xf>
    <xf numFmtId="0" fontId="57" fillId="10" borderId="0" xfId="0" applyFont="1" applyFill="1" applyAlignment="1">
      <alignment horizontal="centerContinuous" vertical="center"/>
    </xf>
    <xf numFmtId="0" fontId="133" fillId="10" borderId="0" xfId="0" applyFont="1" applyFill="1" applyAlignment="1">
      <alignment horizontal="centerContinuous" vertical="center"/>
    </xf>
    <xf numFmtId="0" fontId="134" fillId="10" borderId="0" xfId="0" applyFont="1" applyFill="1" applyAlignment="1">
      <alignment horizontal="centerContinuous" vertical="center"/>
    </xf>
    <xf numFmtId="0" fontId="135" fillId="10" borderId="0" xfId="0" applyFont="1" applyFill="1" applyAlignment="1">
      <alignment horizontal="centerContinuous" vertical="center"/>
    </xf>
    <xf numFmtId="0" fontId="136" fillId="10" borderId="0" xfId="0" applyFont="1" applyFill="1" applyAlignment="1">
      <alignment horizontal="centerContinuous" vertical="center"/>
    </xf>
    <xf numFmtId="0" fontId="104" fillId="10" borderId="0" xfId="0" applyFont="1" applyFill="1" applyAlignment="1">
      <alignment horizontal="centerContinuous" vertical="center"/>
    </xf>
    <xf numFmtId="0" fontId="104" fillId="10" borderId="0" xfId="0" applyFont="1" applyFill="1"/>
    <xf numFmtId="8" fontId="67" fillId="10" borderId="0" xfId="0" applyNumberFormat="1" applyFont="1" applyFill="1" applyAlignment="1">
      <alignment horizontal="center" vertical="center"/>
    </xf>
    <xf numFmtId="0" fontId="104" fillId="0" borderId="0" xfId="0" applyFont="1"/>
    <xf numFmtId="0" fontId="137" fillId="4" borderId="0" xfId="0" applyFont="1" applyFill="1" applyAlignment="1">
      <alignment horizontal="center" vertical="center" wrapText="1"/>
    </xf>
    <xf numFmtId="0" fontId="70" fillId="10" borderId="13" xfId="0" applyFont="1" applyFill="1" applyBorder="1" applyAlignment="1">
      <alignment horizontal="right" indent="3"/>
    </xf>
    <xf numFmtId="0" fontId="70" fillId="10" borderId="7" xfId="0" applyFont="1" applyFill="1" applyBorder="1" applyAlignment="1">
      <alignment horizontal="right" indent="3"/>
    </xf>
    <xf numFmtId="0" fontId="52" fillId="10" borderId="84" xfId="0" applyFont="1" applyFill="1" applyBorder="1" applyAlignment="1">
      <alignment horizontal="left" vertical="center" indent="1"/>
    </xf>
    <xf numFmtId="0" fontId="52" fillId="10" borderId="76" xfId="0" applyFont="1" applyFill="1" applyBorder="1" applyAlignment="1">
      <alignment horizontal="left" vertical="center" indent="1"/>
    </xf>
    <xf numFmtId="0" fontId="52" fillId="10" borderId="71" xfId="0" applyFont="1" applyFill="1" applyBorder="1" applyAlignment="1">
      <alignment horizontal="left" vertical="center" indent="1"/>
    </xf>
    <xf numFmtId="0" fontId="52" fillId="10" borderId="21" xfId="0" applyFont="1" applyFill="1" applyBorder="1" applyAlignment="1">
      <alignment horizontal="left" vertical="center" indent="1"/>
    </xf>
    <xf numFmtId="0" fontId="70" fillId="10" borderId="23" xfId="0" applyFont="1" applyFill="1" applyBorder="1" applyAlignment="1">
      <alignment horizontal="right" indent="3"/>
    </xf>
    <xf numFmtId="0" fontId="107" fillId="4" borderId="0" xfId="0" applyFont="1" applyFill="1" applyAlignment="1">
      <alignment horizontal="center" vertical="center" wrapText="1"/>
    </xf>
    <xf numFmtId="0" fontId="107" fillId="4" borderId="0" xfId="0" applyFont="1" applyFill="1" applyAlignment="1">
      <alignment wrapText="1"/>
    </xf>
    <xf numFmtId="5" fontId="47" fillId="10" borderId="0" xfId="0" applyNumberFormat="1" applyFont="1" applyFill="1" applyBorder="1" applyAlignment="1">
      <alignment horizontal="center" vertical="center" wrapText="1"/>
    </xf>
    <xf numFmtId="7" fontId="52" fillId="10" borderId="72" xfId="0" applyNumberFormat="1" applyFont="1" applyFill="1" applyBorder="1" applyAlignment="1">
      <alignment horizontal="right" vertical="center" indent="1"/>
    </xf>
    <xf numFmtId="7" fontId="104" fillId="10" borderId="26" xfId="0" applyNumberFormat="1" applyFont="1" applyFill="1" applyBorder="1" applyAlignment="1">
      <alignment horizontal="right" vertical="center" indent="1"/>
    </xf>
    <xf numFmtId="7" fontId="52" fillId="10" borderId="73" xfId="0" applyNumberFormat="1" applyFont="1" applyFill="1" applyBorder="1" applyAlignment="1">
      <alignment horizontal="right" vertical="center" indent="1"/>
    </xf>
    <xf numFmtId="7" fontId="104" fillId="10" borderId="23" xfId="0" applyNumberFormat="1" applyFont="1" applyFill="1" applyBorder="1" applyAlignment="1">
      <alignment horizontal="right" vertical="center" indent="1"/>
    </xf>
    <xf numFmtId="7" fontId="52" fillId="10" borderId="21" xfId="0" applyNumberFormat="1" applyFont="1" applyFill="1" applyBorder="1" applyAlignment="1">
      <alignment horizontal="right" vertical="center" indent="1"/>
    </xf>
    <xf numFmtId="7" fontId="52" fillId="10" borderId="22" xfId="0" applyNumberFormat="1" applyFont="1" applyFill="1" applyBorder="1" applyAlignment="1">
      <alignment horizontal="right" vertical="center" indent="1"/>
    </xf>
    <xf numFmtId="7" fontId="52" fillId="10" borderId="38" xfId="0" applyNumberFormat="1" applyFont="1" applyFill="1" applyBorder="1" applyAlignment="1">
      <alignment horizontal="right" vertical="center" indent="1"/>
    </xf>
    <xf numFmtId="7" fontId="104" fillId="10" borderId="39" xfId="0" applyNumberFormat="1" applyFont="1" applyFill="1" applyBorder="1" applyAlignment="1">
      <alignment horizontal="right" vertical="center" indent="1"/>
    </xf>
    <xf numFmtId="172" fontId="52" fillId="10" borderId="73" xfId="0" applyNumberFormat="1" applyFont="1" applyFill="1" applyBorder="1" applyAlignment="1">
      <alignment horizontal="right" vertical="center" indent="1"/>
    </xf>
    <xf numFmtId="172" fontId="104" fillId="10" borderId="23" xfId="0" applyNumberFormat="1" applyFont="1" applyFill="1" applyBorder="1" applyAlignment="1">
      <alignment horizontal="right" vertical="center" indent="1"/>
    </xf>
    <xf numFmtId="172" fontId="52" fillId="10" borderId="21" xfId="0" applyNumberFormat="1" applyFont="1" applyFill="1" applyBorder="1" applyAlignment="1">
      <alignment horizontal="right" vertical="center" indent="1"/>
    </xf>
    <xf numFmtId="172" fontId="104" fillId="10" borderId="26" xfId="0" applyNumberFormat="1" applyFont="1" applyFill="1" applyBorder="1" applyAlignment="1">
      <alignment horizontal="right" vertical="center" indent="1"/>
    </xf>
    <xf numFmtId="172" fontId="52" fillId="10" borderId="1" xfId="0" applyNumberFormat="1" applyFont="1" applyFill="1" applyBorder="1" applyAlignment="1">
      <alignment horizontal="right" vertical="center" indent="1"/>
    </xf>
    <xf numFmtId="172" fontId="104" fillId="10" borderId="44" xfId="0" applyNumberFormat="1" applyFont="1" applyFill="1" applyBorder="1" applyAlignment="1">
      <alignment horizontal="right" vertical="center" indent="1"/>
    </xf>
    <xf numFmtId="7" fontId="101" fillId="10" borderId="54" xfId="0" applyNumberFormat="1" applyFont="1" applyFill="1" applyBorder="1" applyAlignment="1">
      <alignment horizontal="right" vertical="center" indent="1"/>
    </xf>
    <xf numFmtId="0" fontId="101" fillId="10" borderId="55" xfId="0" applyFont="1" applyFill="1" applyBorder="1" applyAlignment="1">
      <alignment horizontal="right" vertical="center" indent="1"/>
    </xf>
    <xf numFmtId="7" fontId="102" fillId="10" borderId="53" xfId="0" applyNumberFormat="1" applyFont="1" applyFill="1" applyBorder="1" applyAlignment="1">
      <alignment horizontal="right" vertical="center" indent="2"/>
    </xf>
    <xf numFmtId="0" fontId="101" fillId="10" borderId="57" xfId="0" applyFont="1" applyFill="1" applyBorder="1" applyAlignment="1">
      <alignment horizontal="right" vertical="center" indent="2"/>
    </xf>
    <xf numFmtId="7" fontId="101" fillId="10" borderId="65" xfId="0" applyNumberFormat="1" applyFont="1" applyFill="1" applyBorder="1" applyAlignment="1">
      <alignment horizontal="right" vertical="center" indent="1"/>
    </xf>
    <xf numFmtId="0" fontId="101" fillId="10" borderId="43" xfId="0" applyFont="1" applyFill="1" applyBorder="1" applyAlignment="1">
      <alignment horizontal="right" vertical="center" indent="1"/>
    </xf>
    <xf numFmtId="7" fontId="102" fillId="10" borderId="63" xfId="0" applyNumberFormat="1" applyFont="1" applyFill="1" applyBorder="1" applyAlignment="1">
      <alignment horizontal="right" vertical="center" indent="2"/>
    </xf>
    <xf numFmtId="0" fontId="101" fillId="10" borderId="70" xfId="0" applyFont="1" applyFill="1" applyBorder="1" applyAlignment="1">
      <alignment horizontal="right" vertical="center" indent="2"/>
    </xf>
    <xf numFmtId="0" fontId="97" fillId="10" borderId="25" xfId="0" applyFont="1" applyFill="1" applyBorder="1" applyAlignment="1">
      <alignment horizontal="center" vertical="center"/>
    </xf>
    <xf numFmtId="0" fontId="98" fillId="10" borderId="3" xfId="0" applyFont="1" applyFill="1" applyBorder="1" applyAlignment="1">
      <alignment horizontal="center"/>
    </xf>
    <xf numFmtId="0" fontId="98" fillId="10" borderId="4" xfId="0" applyFont="1" applyFill="1" applyBorder="1" applyAlignment="1">
      <alignment horizontal="center"/>
    </xf>
    <xf numFmtId="0" fontId="47" fillId="10" borderId="28" xfId="0" applyFont="1" applyFill="1" applyBorder="1" applyAlignment="1">
      <alignment horizontal="center" vertical="center" wrapText="1"/>
    </xf>
    <xf numFmtId="0" fontId="101" fillId="10" borderId="29" xfId="0" applyFont="1" applyFill="1" applyBorder="1" applyAlignment="1">
      <alignment horizontal="center" vertical="center" wrapText="1"/>
    </xf>
    <xf numFmtId="0" fontId="101" fillId="10" borderId="38" xfId="0" applyFont="1" applyFill="1" applyBorder="1" applyAlignment="1">
      <alignment horizontal="center" vertical="center" wrapText="1"/>
    </xf>
    <xf numFmtId="0" fontId="101" fillId="10" borderId="39" xfId="0" applyFont="1" applyFill="1" applyBorder="1" applyAlignment="1">
      <alignment horizontal="center" vertical="center" wrapText="1"/>
    </xf>
    <xf numFmtId="0" fontId="47" fillId="10" borderId="34" xfId="0" applyFont="1" applyFill="1" applyBorder="1" applyAlignment="1">
      <alignment horizontal="center" vertical="center" wrapText="1"/>
    </xf>
    <xf numFmtId="0" fontId="101" fillId="10" borderId="35" xfId="0" applyFont="1" applyFill="1" applyBorder="1" applyAlignment="1">
      <alignment horizontal="center" vertical="center" wrapText="1"/>
    </xf>
    <xf numFmtId="0" fontId="101" fillId="10" borderId="1" xfId="0" applyFont="1" applyFill="1" applyBorder="1" applyAlignment="1">
      <alignment horizontal="center" vertical="center" wrapText="1"/>
    </xf>
    <xf numFmtId="0" fontId="101" fillId="10" borderId="44" xfId="0" applyFont="1" applyFill="1" applyBorder="1" applyAlignment="1">
      <alignment horizontal="center" vertical="center" wrapText="1"/>
    </xf>
    <xf numFmtId="7" fontId="101" fillId="10" borderId="47" xfId="0" applyNumberFormat="1" applyFont="1" applyFill="1" applyBorder="1" applyAlignment="1">
      <alignment horizontal="right" vertical="center" indent="1"/>
    </xf>
    <xf numFmtId="0" fontId="101" fillId="10" borderId="48" xfId="0" applyFont="1" applyFill="1" applyBorder="1" applyAlignment="1">
      <alignment horizontal="right" vertical="center" indent="1"/>
    </xf>
    <xf numFmtId="7" fontId="102" fillId="10" borderId="46" xfId="0" applyNumberFormat="1" applyFont="1" applyFill="1" applyBorder="1" applyAlignment="1">
      <alignment horizontal="right" vertical="center" indent="2"/>
    </xf>
    <xf numFmtId="0" fontId="101" fillId="10" borderId="51" xfId="0" applyFont="1" applyFill="1" applyBorder="1" applyAlignment="1">
      <alignment horizontal="right" vertical="center" indent="2"/>
    </xf>
    <xf numFmtId="0" fontId="47" fillId="10" borderId="14" xfId="0" applyFont="1" applyFill="1" applyBorder="1" applyAlignment="1">
      <alignment horizontal="left" vertical="center" wrapText="1" indent="1"/>
    </xf>
    <xf numFmtId="0" fontId="47" fillId="10" borderId="15" xfId="0" applyFont="1" applyFill="1" applyBorder="1" applyAlignment="1">
      <alignment horizontal="left" vertical="center" wrapText="1" indent="1"/>
    </xf>
    <xf numFmtId="0" fontId="0" fillId="10" borderId="16" xfId="0" applyFill="1" applyBorder="1" applyAlignment="1">
      <alignment horizontal="left" vertical="center" wrapText="1" indent="1"/>
    </xf>
    <xf numFmtId="172" fontId="30" fillId="10" borderId="14" xfId="0" applyNumberFormat="1" applyFont="1" applyFill="1" applyBorder="1" applyAlignment="1">
      <alignment horizontal="right" vertical="center" indent="3"/>
    </xf>
    <xf numFmtId="0" fontId="49" fillId="10" borderId="15" xfId="0" applyFont="1" applyFill="1" applyBorder="1" applyAlignment="1">
      <alignment horizontal="right" indent="3"/>
    </xf>
    <xf numFmtId="0" fontId="70" fillId="10" borderId="15" xfId="0" applyFont="1" applyFill="1" applyBorder="1" applyAlignment="1">
      <alignment horizontal="right" indent="3"/>
    </xf>
    <xf numFmtId="0" fontId="70" fillId="10" borderId="16" xfId="0" applyFont="1" applyFill="1" applyBorder="1" applyAlignment="1">
      <alignment horizontal="right" indent="3"/>
    </xf>
    <xf numFmtId="0" fontId="82" fillId="10" borderId="0" xfId="0" applyFont="1" applyFill="1" applyBorder="1" applyAlignment="1">
      <alignment horizontal="left" wrapText="1" indent="1"/>
    </xf>
    <xf numFmtId="0" fontId="64" fillId="10" borderId="0" xfId="0" applyFont="1" applyFill="1" applyBorder="1" applyAlignment="1">
      <alignment horizontal="left" vertical="top" wrapText="1"/>
    </xf>
    <xf numFmtId="0" fontId="93" fillId="10" borderId="0" xfId="0" applyFont="1" applyFill="1" applyAlignment="1">
      <alignment horizontal="left" vertical="top" wrapText="1"/>
    </xf>
    <xf numFmtId="5" fontId="30" fillId="10" borderId="21" xfId="0" applyNumberFormat="1" applyFont="1" applyFill="1" applyBorder="1" applyAlignment="1">
      <alignment horizontal="right" vertical="center" indent="3"/>
    </xf>
    <xf numFmtId="0" fontId="49" fillId="10" borderId="22" xfId="0" applyFont="1" applyFill="1" applyBorder="1" applyAlignment="1">
      <alignment horizontal="right" indent="3"/>
    </xf>
    <xf numFmtId="0" fontId="70" fillId="10" borderId="22" xfId="0" applyFont="1" applyFill="1" applyBorder="1" applyAlignment="1">
      <alignment horizontal="right" indent="3"/>
    </xf>
    <xf numFmtId="0" fontId="70" fillId="10" borderId="23" xfId="0" applyFont="1" applyFill="1" applyBorder="1" applyAlignment="1">
      <alignment horizontal="right" indent="3"/>
    </xf>
    <xf numFmtId="172" fontId="30" fillId="10" borderId="36" xfId="0" applyNumberFormat="1" applyFont="1" applyFill="1" applyBorder="1" applyAlignment="1">
      <alignment horizontal="right" vertical="center" indent="3"/>
    </xf>
    <xf numFmtId="0" fontId="49" fillId="10" borderId="1" xfId="0" applyFont="1" applyFill="1" applyBorder="1" applyAlignment="1">
      <alignment horizontal="right" indent="3"/>
    </xf>
    <xf numFmtId="0" fontId="70" fillId="10" borderId="1" xfId="0" applyFont="1" applyFill="1" applyBorder="1" applyAlignment="1">
      <alignment horizontal="right" indent="3"/>
    </xf>
    <xf numFmtId="0" fontId="70" fillId="10" borderId="44" xfId="0" applyFont="1" applyFill="1" applyBorder="1" applyAlignment="1">
      <alignment horizontal="right" indent="3"/>
    </xf>
    <xf numFmtId="172" fontId="30" fillId="10" borderId="76" xfId="0" applyNumberFormat="1" applyFont="1" applyFill="1" applyBorder="1" applyAlignment="1">
      <alignment horizontal="right" vertical="center" indent="3"/>
    </xf>
    <xf numFmtId="0" fontId="49" fillId="10" borderId="0" xfId="0" applyFont="1" applyFill="1" applyBorder="1" applyAlignment="1">
      <alignment horizontal="right" indent="3"/>
    </xf>
    <xf numFmtId="0" fontId="70" fillId="10" borderId="0" xfId="0" applyFont="1" applyFill="1" applyBorder="1" applyAlignment="1">
      <alignment horizontal="right" indent="3"/>
    </xf>
    <xf numFmtId="0" fontId="47" fillId="10" borderId="2" xfId="0" applyFont="1" applyFill="1" applyBorder="1" applyAlignment="1">
      <alignment horizontal="left" vertical="center" wrapText="1" indent="1"/>
    </xf>
    <xf numFmtId="0" fontId="47" fillId="10" borderId="3" xfId="0" applyFont="1" applyFill="1" applyBorder="1" applyAlignment="1">
      <alignment horizontal="left" vertical="center" wrapText="1" indent="1"/>
    </xf>
    <xf numFmtId="0" fontId="0" fillId="10" borderId="4" xfId="0" applyFill="1" applyBorder="1" applyAlignment="1">
      <alignment horizontal="left" vertical="center" wrapText="1" indent="1"/>
    </xf>
    <xf numFmtId="5" fontId="30" fillId="10" borderId="2" xfId="0" applyNumberFormat="1" applyFont="1" applyFill="1" applyBorder="1" applyAlignment="1">
      <alignment horizontal="right" vertical="center" indent="3"/>
    </xf>
    <xf numFmtId="0" fontId="49" fillId="10" borderId="3" xfId="0" applyFont="1" applyFill="1" applyBorder="1" applyAlignment="1">
      <alignment horizontal="right" indent="3"/>
    </xf>
    <xf numFmtId="0" fontId="70" fillId="10" borderId="3" xfId="0" applyFont="1" applyFill="1" applyBorder="1" applyAlignment="1">
      <alignment horizontal="right" indent="3"/>
    </xf>
    <xf numFmtId="0" fontId="70" fillId="10" borderId="4" xfId="0" applyFont="1" applyFill="1" applyBorder="1" applyAlignment="1">
      <alignment horizontal="right" indent="3"/>
    </xf>
    <xf numFmtId="0" fontId="52" fillId="10" borderId="5" xfId="0" applyFont="1" applyFill="1" applyBorder="1" applyAlignment="1">
      <alignment horizontal="left" vertical="center" wrapText="1" indent="1"/>
    </xf>
    <xf numFmtId="0" fontId="52" fillId="10" borderId="6" xfId="0" applyFont="1" applyFill="1" applyBorder="1" applyAlignment="1">
      <alignment horizontal="left" vertical="center" wrapText="1" indent="1"/>
    </xf>
    <xf numFmtId="0" fontId="0" fillId="10" borderId="7" xfId="0" applyFill="1" applyBorder="1" applyAlignment="1">
      <alignment horizontal="left" vertical="center" wrapText="1" indent="1"/>
    </xf>
    <xf numFmtId="5" fontId="30" fillId="10" borderId="11" xfId="0" applyNumberFormat="1" applyFont="1" applyFill="1" applyBorder="1" applyAlignment="1">
      <alignment horizontal="right" vertical="center" indent="3"/>
    </xf>
    <xf numFmtId="0" fontId="49" fillId="10" borderId="12" xfId="0" applyFont="1" applyFill="1" applyBorder="1" applyAlignment="1">
      <alignment horizontal="right" indent="3"/>
    </xf>
    <xf numFmtId="0" fontId="70" fillId="10" borderId="12" xfId="0" applyFont="1" applyFill="1" applyBorder="1" applyAlignment="1">
      <alignment horizontal="right" indent="3"/>
    </xf>
    <xf numFmtId="0" fontId="70" fillId="10" borderId="13" xfId="0" applyFont="1" applyFill="1" applyBorder="1" applyAlignment="1">
      <alignment horizontal="right" indent="3"/>
    </xf>
    <xf numFmtId="5" fontId="30" fillId="10" borderId="5" xfId="0" applyNumberFormat="1" applyFont="1" applyFill="1" applyBorder="1" applyAlignment="1">
      <alignment horizontal="right" vertical="center" indent="3"/>
    </xf>
    <xf numFmtId="0" fontId="49" fillId="10" borderId="6" xfId="0" applyFont="1" applyFill="1" applyBorder="1" applyAlignment="1">
      <alignment horizontal="right" indent="3"/>
    </xf>
    <xf numFmtId="0" fontId="70" fillId="10" borderId="6" xfId="0" applyFont="1" applyFill="1" applyBorder="1" applyAlignment="1">
      <alignment horizontal="right" indent="3"/>
    </xf>
    <xf numFmtId="0" fontId="52" fillId="10" borderId="2" xfId="0" applyFont="1" applyFill="1" applyBorder="1" applyAlignment="1">
      <alignment horizontal="left" vertical="center" wrapText="1" indent="1"/>
    </xf>
    <xf numFmtId="0" fontId="52" fillId="10" borderId="3" xfId="0" applyFont="1" applyFill="1" applyBorder="1" applyAlignment="1">
      <alignment horizontal="left" vertical="center" wrapText="1" indent="1"/>
    </xf>
    <xf numFmtId="5" fontId="30" fillId="10" borderId="18" xfId="0" applyNumberFormat="1" applyFont="1" applyFill="1" applyBorder="1" applyAlignment="1">
      <alignment horizontal="right" vertical="center" indent="3"/>
    </xf>
    <xf numFmtId="0" fontId="49" fillId="10" borderId="19" xfId="0" applyFont="1" applyFill="1" applyBorder="1" applyAlignment="1">
      <alignment horizontal="right" indent="3"/>
    </xf>
    <xf numFmtId="0" fontId="70" fillId="10" borderId="19" xfId="0" applyFont="1" applyFill="1" applyBorder="1" applyAlignment="1">
      <alignment horizontal="right" indent="3"/>
    </xf>
    <xf numFmtId="0" fontId="70" fillId="10" borderId="7" xfId="0" applyFont="1" applyFill="1" applyBorder="1" applyAlignment="1">
      <alignment horizontal="right" indent="3"/>
    </xf>
    <xf numFmtId="0" fontId="34" fillId="10" borderId="5" xfId="0" applyFont="1" applyFill="1" applyBorder="1" applyAlignment="1">
      <alignment horizontal="left" vertical="center" wrapText="1" indent="1"/>
    </xf>
    <xf numFmtId="0" fontId="34" fillId="10" borderId="6" xfId="0" applyFont="1" applyFill="1" applyBorder="1" applyAlignment="1">
      <alignment horizontal="left" vertical="center" wrapText="1" indent="1"/>
    </xf>
    <xf numFmtId="10" fontId="30" fillId="10" borderId="14" xfId="0" applyNumberFormat="1" applyFont="1" applyFill="1" applyBorder="1" applyAlignment="1">
      <alignment horizontal="right" vertical="center" indent="3"/>
    </xf>
    <xf numFmtId="10" fontId="30" fillId="10" borderId="15" xfId="0" applyNumberFormat="1" applyFont="1" applyFill="1" applyBorder="1" applyAlignment="1">
      <alignment horizontal="right" vertical="center" indent="3"/>
    </xf>
    <xf numFmtId="10" fontId="30" fillId="10" borderId="17" xfId="0" applyNumberFormat="1" applyFont="1" applyFill="1" applyBorder="1" applyAlignment="1">
      <alignment horizontal="right" vertical="center" indent="3"/>
    </xf>
    <xf numFmtId="0" fontId="50" fillId="10" borderId="11" xfId="0" applyFont="1" applyFill="1" applyBorder="1" applyAlignment="1">
      <alignment horizontal="left" vertical="center" wrapText="1" indent="1"/>
    </xf>
    <xf numFmtId="0" fontId="51" fillId="10" borderId="12" xfId="0" applyFont="1" applyFill="1" applyBorder="1" applyAlignment="1">
      <alignment horizontal="left" wrapText="1" indent="1"/>
    </xf>
    <xf numFmtId="0" fontId="51" fillId="10" borderId="13" xfId="0" applyFont="1" applyFill="1" applyBorder="1" applyAlignment="1">
      <alignment horizontal="left" wrapText="1" indent="1"/>
    </xf>
    <xf numFmtId="0" fontId="52" fillId="10" borderId="21" xfId="0" applyFont="1" applyFill="1" applyBorder="1" applyAlignment="1">
      <alignment horizontal="left" vertical="center" wrapText="1" indent="1"/>
    </xf>
    <xf numFmtId="0" fontId="52" fillId="10" borderId="22" xfId="0" applyFont="1" applyFill="1" applyBorder="1" applyAlignment="1">
      <alignment horizontal="left" vertical="center" wrapText="1" indent="1"/>
    </xf>
    <xf numFmtId="0" fontId="0" fillId="10" borderId="23" xfId="0" applyFill="1" applyBorder="1" applyAlignment="1">
      <alignment horizontal="left" vertical="center" wrapText="1" indent="1"/>
    </xf>
    <xf numFmtId="10" fontId="52" fillId="10" borderId="21" xfId="0" applyNumberFormat="1" applyFont="1" applyFill="1" applyBorder="1" applyAlignment="1">
      <alignment horizontal="center" vertical="center" wrapText="1"/>
    </xf>
    <xf numFmtId="0" fontId="67" fillId="10" borderId="22" xfId="0" applyFont="1" applyFill="1" applyBorder="1" applyAlignment="1">
      <alignment wrapText="1"/>
    </xf>
    <xf numFmtId="0" fontId="0" fillId="10" borderId="22" xfId="0" applyFill="1" applyBorder="1" applyAlignment="1">
      <alignment wrapText="1"/>
    </xf>
    <xf numFmtId="0" fontId="0" fillId="10" borderId="23" xfId="0" applyFill="1" applyBorder="1" applyAlignment="1">
      <alignment wrapText="1"/>
    </xf>
    <xf numFmtId="0" fontId="0" fillId="10" borderId="22" xfId="0" applyFill="1" applyBorder="1" applyAlignment="1">
      <alignment horizontal="center" vertical="center" wrapText="1"/>
    </xf>
    <xf numFmtId="8" fontId="30" fillId="10" borderId="5" xfId="0" applyNumberFormat="1" applyFont="1" applyFill="1" applyBorder="1" applyAlignment="1">
      <alignment horizontal="right" vertical="center" indent="3"/>
    </xf>
    <xf numFmtId="8" fontId="30" fillId="10" borderId="6" xfId="0" applyNumberFormat="1" applyFont="1" applyFill="1" applyBorder="1" applyAlignment="1">
      <alignment horizontal="right" vertical="center" indent="3"/>
    </xf>
    <xf numFmtId="8" fontId="30" fillId="10" borderId="10" xfId="0" applyNumberFormat="1" applyFont="1" applyFill="1" applyBorder="1" applyAlignment="1">
      <alignment horizontal="right" vertical="center" indent="3"/>
    </xf>
    <xf numFmtId="0" fontId="50" fillId="10" borderId="5" xfId="0" applyFont="1" applyFill="1" applyBorder="1" applyAlignment="1">
      <alignment horizontal="left" vertical="center" wrapText="1" indent="1"/>
    </xf>
    <xf numFmtId="0" fontId="51" fillId="10" borderId="6" xfId="0" applyFont="1" applyFill="1" applyBorder="1" applyAlignment="1">
      <alignment horizontal="left" wrapText="1" indent="1"/>
    </xf>
    <xf numFmtId="0" fontId="51" fillId="10" borderId="7" xfId="0" applyFont="1" applyFill="1" applyBorder="1" applyAlignment="1">
      <alignment horizontal="left" wrapText="1" indent="1"/>
    </xf>
    <xf numFmtId="0" fontId="34" fillId="10" borderId="14" xfId="0" applyFont="1" applyFill="1" applyBorder="1" applyAlignment="1">
      <alignment horizontal="left" vertical="center" wrapText="1" indent="1"/>
    </xf>
    <xf numFmtId="0" fontId="34" fillId="10" borderId="15" xfId="0" applyFont="1" applyFill="1" applyBorder="1" applyAlignment="1">
      <alignment horizontal="left" vertical="center" wrapText="1" indent="1"/>
    </xf>
    <xf numFmtId="9" fontId="60" fillId="10" borderId="14" xfId="0" applyNumberFormat="1" applyFont="1" applyFill="1" applyBorder="1" applyAlignment="1">
      <alignment horizontal="right" vertical="center" indent="3"/>
    </xf>
    <xf numFmtId="9" fontId="61" fillId="10" borderId="15" xfId="0" applyNumberFormat="1" applyFont="1" applyFill="1" applyBorder="1" applyAlignment="1">
      <alignment horizontal="right" vertical="center" indent="3"/>
    </xf>
    <xf numFmtId="9" fontId="61" fillId="10" borderId="17" xfId="0" applyNumberFormat="1" applyFont="1" applyFill="1" applyBorder="1" applyAlignment="1">
      <alignment horizontal="right" vertical="center" indent="3"/>
    </xf>
    <xf numFmtId="0" fontId="50" fillId="10" borderId="14" xfId="0" applyFont="1" applyFill="1" applyBorder="1" applyAlignment="1">
      <alignment horizontal="left" vertical="center" wrapText="1" indent="1"/>
    </xf>
    <xf numFmtId="0" fontId="51" fillId="10" borderId="15" xfId="0" applyFont="1" applyFill="1" applyBorder="1" applyAlignment="1">
      <alignment horizontal="left" wrapText="1" indent="1"/>
    </xf>
    <xf numFmtId="0" fontId="50" fillId="10" borderId="18" xfId="0" applyFont="1" applyFill="1" applyBorder="1" applyAlignment="1">
      <alignment horizontal="left" vertical="center" wrapText="1" indent="1"/>
    </xf>
    <xf numFmtId="0" fontId="51" fillId="10" borderId="19" xfId="0" applyFont="1" applyFill="1" applyBorder="1" applyAlignment="1">
      <alignment horizontal="left" wrapText="1" indent="1"/>
    </xf>
    <xf numFmtId="0" fontId="51" fillId="10" borderId="20" xfId="0" applyFont="1" applyFill="1" applyBorder="1" applyAlignment="1">
      <alignment horizontal="left" wrapText="1" indent="1"/>
    </xf>
    <xf numFmtId="0" fontId="0" fillId="10" borderId="6" xfId="0" applyFill="1" applyBorder="1" applyAlignment="1">
      <alignment horizontal="left" vertical="center" wrapText="1" indent="1"/>
    </xf>
    <xf numFmtId="166" fontId="54" fillId="10" borderId="5" xfId="0" applyNumberFormat="1" applyFont="1" applyFill="1" applyBorder="1" applyAlignment="1">
      <alignment horizontal="right" vertical="center" indent="3"/>
    </xf>
    <xf numFmtId="0" fontId="49" fillId="10" borderId="6" xfId="0" applyFont="1" applyFill="1" applyBorder="1" applyAlignment="1">
      <alignment horizontal="right" vertical="center" indent="3"/>
    </xf>
    <xf numFmtId="0" fontId="49" fillId="10" borderId="10" xfId="0" applyFont="1" applyFill="1" applyBorder="1" applyAlignment="1">
      <alignment horizontal="right" vertical="center" indent="3"/>
    </xf>
    <xf numFmtId="170" fontId="57" fillId="10" borderId="5" xfId="0" applyNumberFormat="1" applyFont="1" applyFill="1" applyBorder="1" applyAlignment="1">
      <alignment horizontal="right" vertical="center" indent="2"/>
    </xf>
    <xf numFmtId="170" fontId="57" fillId="10" borderId="6" xfId="0" applyNumberFormat="1" applyFont="1" applyFill="1" applyBorder="1" applyAlignment="1">
      <alignment horizontal="right" vertical="center" indent="2"/>
    </xf>
    <xf numFmtId="170" fontId="57" fillId="10" borderId="7" xfId="0" applyNumberFormat="1" applyFont="1" applyFill="1" applyBorder="1" applyAlignment="1">
      <alignment horizontal="right" vertical="center" indent="2"/>
    </xf>
    <xf numFmtId="0" fontId="58" fillId="10" borderId="11" xfId="0" applyFont="1" applyFill="1" applyBorder="1" applyAlignment="1">
      <alignment horizontal="left" vertical="center" wrapText="1" indent="1"/>
    </xf>
    <xf numFmtId="0" fontId="59" fillId="10" borderId="12" xfId="0" applyFont="1" applyFill="1" applyBorder="1" applyAlignment="1">
      <alignment horizontal="left" wrapText="1" indent="1"/>
    </xf>
    <xf numFmtId="5" fontId="54" fillId="10" borderId="5" xfId="0" applyNumberFormat="1" applyFont="1" applyFill="1" applyBorder="1" applyAlignment="1">
      <alignment horizontal="right" vertical="center" indent="3"/>
    </xf>
    <xf numFmtId="5" fontId="54" fillId="10" borderId="6" xfId="0" applyNumberFormat="1" applyFont="1" applyFill="1" applyBorder="1" applyAlignment="1">
      <alignment horizontal="right" vertical="center" indent="3"/>
    </xf>
    <xf numFmtId="5" fontId="54" fillId="10" borderId="10" xfId="0" applyNumberFormat="1" applyFont="1" applyFill="1" applyBorder="1" applyAlignment="1">
      <alignment horizontal="right" vertical="center" indent="3"/>
    </xf>
    <xf numFmtId="10" fontId="30" fillId="10" borderId="5" xfId="0" applyNumberFormat="1" applyFont="1" applyFill="1" applyBorder="1" applyAlignment="1">
      <alignment horizontal="right" vertical="center" indent="3"/>
    </xf>
    <xf numFmtId="10" fontId="30" fillId="10" borderId="6" xfId="0" applyNumberFormat="1" applyFont="1" applyFill="1" applyBorder="1" applyAlignment="1">
      <alignment horizontal="right" vertical="center" indent="3"/>
    </xf>
    <xf numFmtId="10" fontId="30" fillId="10" borderId="10" xfId="0" applyNumberFormat="1" applyFont="1" applyFill="1" applyBorder="1" applyAlignment="1">
      <alignment horizontal="right" vertical="center" indent="3"/>
    </xf>
    <xf numFmtId="168" fontId="41" fillId="10" borderId="5" xfId="0" applyNumberFormat="1" applyFont="1" applyFill="1" applyBorder="1" applyAlignment="1" applyProtection="1">
      <alignment horizontal="right" vertical="center" indent="2"/>
      <protection locked="0"/>
    </xf>
    <xf numFmtId="168" fontId="41" fillId="10" borderId="6" xfId="0" applyNumberFormat="1" applyFont="1" applyFill="1" applyBorder="1" applyAlignment="1" applyProtection="1">
      <alignment horizontal="right" vertical="center" indent="2"/>
      <protection locked="0"/>
    </xf>
    <xf numFmtId="168" fontId="41" fillId="10" borderId="7" xfId="0" applyNumberFormat="1" applyFont="1" applyFill="1" applyBorder="1" applyAlignment="1" applyProtection="1">
      <alignment horizontal="right" vertical="center" indent="2"/>
      <protection locked="0"/>
    </xf>
    <xf numFmtId="0" fontId="43" fillId="10" borderId="5" xfId="0" applyFont="1" applyFill="1" applyBorder="1" applyAlignment="1">
      <alignment horizontal="left" vertical="center" wrapText="1" indent="1"/>
    </xf>
    <xf numFmtId="0" fontId="44" fillId="10" borderId="6" xfId="0" applyFont="1" applyFill="1" applyBorder="1" applyAlignment="1">
      <alignment horizontal="left" wrapText="1" indent="1"/>
    </xf>
    <xf numFmtId="169" fontId="41" fillId="10" borderId="5" xfId="0" applyNumberFormat="1" applyFont="1" applyFill="1" applyBorder="1" applyAlignment="1" applyProtection="1">
      <alignment horizontal="right" vertical="center" indent="2"/>
      <protection locked="0"/>
    </xf>
    <xf numFmtId="169" fontId="41" fillId="10" borderId="6" xfId="0" applyNumberFormat="1" applyFont="1" applyFill="1" applyBorder="1" applyAlignment="1" applyProtection="1">
      <alignment horizontal="right" vertical="center" indent="2"/>
      <protection locked="0"/>
    </xf>
    <xf numFmtId="169" fontId="41" fillId="10" borderId="7" xfId="0" applyNumberFormat="1" applyFont="1" applyFill="1" applyBorder="1" applyAlignment="1" applyProtection="1">
      <alignment horizontal="right" vertical="center" indent="2"/>
      <protection locked="0"/>
    </xf>
    <xf numFmtId="0" fontId="20" fillId="0" borderId="0" xfId="0" applyFont="1" applyFill="1" applyBorder="1" applyAlignment="1">
      <alignment horizontal="right" vertical="center" indent="3"/>
    </xf>
    <xf numFmtId="0" fontId="21" fillId="0" borderId="0" xfId="0" applyFont="1" applyFill="1" applyBorder="1" applyAlignment="1">
      <alignment horizontal="right" indent="3"/>
    </xf>
    <xf numFmtId="0" fontId="2" fillId="10" borderId="1" xfId="0" applyFont="1" applyFill="1" applyBorder="1" applyAlignment="1">
      <alignment horizontal="center" vertical="center"/>
    </xf>
    <xf numFmtId="0" fontId="0" fillId="10" borderId="1" xfId="0" applyFill="1" applyBorder="1" applyAlignment="1">
      <alignment horizontal="center" vertical="center"/>
    </xf>
    <xf numFmtId="0" fontId="34" fillId="10" borderId="2" xfId="0" applyFont="1" applyFill="1" applyBorder="1" applyAlignment="1">
      <alignment horizontal="left" vertical="center" wrapText="1" indent="1"/>
    </xf>
    <xf numFmtId="0" fontId="34" fillId="10" borderId="3" xfId="0" applyFont="1" applyFill="1" applyBorder="1" applyAlignment="1">
      <alignment horizontal="left" vertical="center" wrapText="1" indent="1"/>
    </xf>
    <xf numFmtId="0" fontId="41" fillId="10" borderId="2" xfId="0" applyFont="1" applyFill="1" applyBorder="1" applyAlignment="1" applyProtection="1">
      <alignment horizontal="right" vertical="center" indent="2"/>
      <protection locked="0"/>
    </xf>
    <xf numFmtId="0" fontId="42" fillId="10" borderId="3" xfId="0" applyFont="1" applyFill="1" applyBorder="1" applyAlignment="1" applyProtection="1">
      <alignment horizontal="right" vertical="center" indent="2"/>
      <protection locked="0"/>
    </xf>
    <xf numFmtId="0" fontId="42" fillId="10" borderId="4" xfId="0" applyFont="1" applyFill="1" applyBorder="1" applyAlignment="1" applyProtection="1">
      <alignment horizontal="right" vertical="center" indent="2"/>
      <protection locked="0"/>
    </xf>
    <xf numFmtId="0" fontId="43" fillId="10" borderId="2" xfId="0" applyFont="1" applyFill="1" applyBorder="1" applyAlignment="1">
      <alignment horizontal="left" vertical="center" wrapText="1" indent="1"/>
    </xf>
    <xf numFmtId="0" fontId="44" fillId="10" borderId="3" xfId="0" applyFont="1" applyFill="1" applyBorder="1" applyAlignment="1">
      <alignment horizontal="left" wrapText="1" indent="1"/>
    </xf>
    <xf numFmtId="166" fontId="45" fillId="10" borderId="5" xfId="0" applyNumberFormat="1" applyFont="1" applyFill="1" applyBorder="1" applyAlignment="1" applyProtection="1">
      <alignment horizontal="right" vertical="center" indent="2"/>
      <protection locked="0"/>
    </xf>
    <xf numFmtId="0" fontId="46" fillId="10" borderId="6" xfId="0" applyFont="1" applyFill="1" applyBorder="1" applyAlignment="1" applyProtection="1">
      <alignment horizontal="right" vertical="center" indent="2"/>
      <protection locked="0"/>
    </xf>
    <xf numFmtId="0" fontId="46" fillId="10" borderId="7" xfId="0" applyFont="1" applyFill="1" applyBorder="1" applyAlignment="1" applyProtection="1">
      <alignment horizontal="right" vertical="center" indent="2"/>
      <protection locked="0"/>
    </xf>
    <xf numFmtId="6" fontId="30" fillId="10" borderId="5" xfId="0" applyNumberFormat="1" applyFont="1" applyFill="1" applyBorder="1" applyAlignment="1">
      <alignment horizontal="right" vertical="center" indent="3"/>
    </xf>
  </cellXfs>
  <cellStyles count="1">
    <cellStyle name="Normal" xfId="0" builtinId="0"/>
  </cellStyles>
  <dxfs count="28">
    <dxf>
      <font>
        <color rgb="FF333333"/>
      </font>
      <fill>
        <patternFill>
          <bgColor rgb="FF333333"/>
        </patternFill>
      </fill>
    </dxf>
    <dxf>
      <font>
        <color theme="1" tint="0.24994659260841701"/>
      </font>
      <fill>
        <patternFill>
          <bgColor theme="1" tint="0.24994659260841701"/>
        </patternFill>
      </fill>
    </dxf>
    <dxf>
      <font>
        <condense val="0"/>
        <extend val="0"/>
        <color indexed="63"/>
      </font>
      <fill>
        <patternFill>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bgColor indexed="63"/>
        </patternFill>
      </fill>
    </dxf>
    <dxf>
      <font>
        <condense val="0"/>
        <extend val="0"/>
        <color indexed="63"/>
      </font>
      <fill>
        <patternFill patternType="solid">
          <bgColor indexed="63"/>
        </patternFill>
      </fill>
    </dxf>
    <dxf>
      <font>
        <condense val="0"/>
        <extend val="0"/>
        <color indexed="63"/>
      </font>
      <fill>
        <patternFill>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lor theme="0"/>
      </font>
      <fill>
        <patternFill>
          <bgColor rgb="FF990000"/>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patternType="solid">
          <bgColor indexed="63"/>
        </patternFill>
      </fill>
    </dxf>
    <dxf>
      <font>
        <condense val="0"/>
        <extend val="0"/>
        <color indexed="63"/>
      </font>
      <fill>
        <patternFill>
          <bgColor indexed="63"/>
        </patternFill>
      </fill>
    </dxf>
    <dxf>
      <font>
        <condense val="0"/>
        <extend val="0"/>
        <color indexed="63"/>
      </font>
      <fill>
        <patternFill patternType="solid">
          <bgColor indexed="63"/>
        </patternFill>
      </fill>
    </dxf>
    <dxf>
      <font>
        <condense val="0"/>
        <extend val="0"/>
        <color indexed="63"/>
      </font>
      <fill>
        <patternFill>
          <bgColor indexed="63"/>
        </patternFill>
      </fill>
    </dxf>
    <dxf>
      <font>
        <condense val="0"/>
        <extend val="0"/>
        <color indexed="63"/>
      </font>
      <fill>
        <patternFill patternType="solid">
          <bgColor indexed="63"/>
        </patternFill>
      </fill>
    </dxf>
    <dxf>
      <font>
        <b/>
        <i val="0"/>
        <condense val="0"/>
        <extend val="0"/>
      </font>
      <fill>
        <patternFill>
          <bgColor indexed="55"/>
        </patternFill>
      </fill>
    </dxf>
    <dxf>
      <font>
        <b/>
        <i val="0"/>
        <condense val="0"/>
        <extend val="0"/>
      </font>
      <fill>
        <patternFill>
          <bgColor indexed="55"/>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DI833"/>
  <sheetViews>
    <sheetView tabSelected="1" view="pageLayout" topLeftCell="J11" zoomScaleNormal="100" workbookViewId="0">
      <selection activeCell="M23" sqref="M23:P23"/>
    </sheetView>
  </sheetViews>
  <sheetFormatPr defaultRowHeight="15" x14ac:dyDescent="0.25"/>
  <cols>
    <col min="1" max="1" width="8.7109375" hidden="1" customWidth="1"/>
    <col min="2" max="6" width="12.7109375" hidden="1" customWidth="1"/>
    <col min="7" max="7" width="11.7109375" hidden="1" customWidth="1"/>
    <col min="8" max="8" width="8.7109375" hidden="1" customWidth="1"/>
    <col min="9" max="9" width="3.7109375" hidden="1" customWidth="1"/>
    <col min="10" max="10" width="3.7109375" customWidth="1"/>
    <col min="11" max="11" width="2.7109375" customWidth="1"/>
    <col min="12" max="12" width="29.7109375" customWidth="1"/>
    <col min="13" max="14" width="11.7109375" customWidth="1"/>
    <col min="15" max="15" width="13.7109375" customWidth="1"/>
    <col min="16" max="16" width="6.7109375" customWidth="1"/>
    <col min="17" max="17" width="13.7109375" customWidth="1"/>
    <col min="18" max="19" width="8.7109375" customWidth="1"/>
    <col min="20" max="20" width="9.7109375" customWidth="1"/>
    <col min="21" max="21" width="0.85546875" customWidth="1"/>
    <col min="22" max="22" width="14.7109375" hidden="1" customWidth="1"/>
    <col min="23" max="24" width="12.7109375" hidden="1" customWidth="1"/>
    <col min="25" max="25" width="8.7109375" hidden="1" customWidth="1"/>
    <col min="26" max="30" width="10.7109375" hidden="1" customWidth="1"/>
    <col min="31" max="31" width="9.140625" hidden="1" customWidth="1"/>
    <col min="32" max="32" width="8.7109375" hidden="1" customWidth="1"/>
    <col min="33" max="34" width="0" hidden="1" customWidth="1"/>
    <col min="35" max="38" width="18.7109375" hidden="1" customWidth="1"/>
    <col min="39" max="39" width="4.7109375" hidden="1" customWidth="1"/>
    <col min="40" max="48" width="0" hidden="1" customWidth="1"/>
    <col min="49" max="49" width="4.7109375" hidden="1" customWidth="1"/>
    <col min="50" max="68" width="0" hidden="1" customWidth="1"/>
    <col min="69" max="69" width="25.7109375" customWidth="1"/>
  </cols>
  <sheetData>
    <row r="1" spans="1:70" ht="15.75" hidden="1" x14ac:dyDescent="0.25">
      <c r="A1" s="1">
        <f>I8</f>
        <v>0</v>
      </c>
      <c r="B1" s="2"/>
      <c r="C1" s="2"/>
      <c r="D1" s="2"/>
      <c r="E1" s="2"/>
      <c r="F1" s="2"/>
      <c r="G1" s="2"/>
      <c r="H1" s="1"/>
      <c r="I1" s="3">
        <f>SUM(I33:I119)</f>
        <v>-6.9072298644612395E-9</v>
      </c>
      <c r="J1" s="4"/>
      <c r="K1" s="4"/>
      <c r="L1" s="4"/>
      <c r="M1" s="5" t="s">
        <v>0</v>
      </c>
      <c r="N1" s="6">
        <v>30</v>
      </c>
      <c r="O1" s="7">
        <f>N1*12</f>
        <v>360</v>
      </c>
      <c r="P1" s="8">
        <v>0.25</v>
      </c>
      <c r="Q1" s="9">
        <v>0</v>
      </c>
      <c r="R1" s="10" t="s">
        <v>1</v>
      </c>
      <c r="S1" s="8">
        <v>0.25</v>
      </c>
      <c r="T1" s="11"/>
      <c r="U1" s="4"/>
      <c r="V1" s="4"/>
      <c r="W1" s="4"/>
      <c r="X1" s="4"/>
      <c r="Y1" s="4"/>
      <c r="AF1" s="4"/>
    </row>
    <row r="2" spans="1:70" ht="25.5" hidden="1" x14ac:dyDescent="0.25">
      <c r="A2" s="1"/>
      <c r="B2" s="12"/>
      <c r="D2" s="13" t="str">
        <f>C7</f>
        <v>FHA Mortgage</v>
      </c>
      <c r="E2" s="13" t="str">
        <f>C8</f>
        <v>95% LTV Conventional</v>
      </c>
      <c r="F2" s="13" t="str">
        <f>C9</f>
        <v>97% LTV Conventional</v>
      </c>
      <c r="G2" s="14"/>
      <c r="H2" s="1" t="s">
        <v>2</v>
      </c>
      <c r="I2" s="15"/>
      <c r="P2" s="16">
        <f>M23</f>
        <v>0</v>
      </c>
      <c r="S2" s="16"/>
      <c r="T2" s="16"/>
      <c r="U2" s="16"/>
    </row>
    <row r="3" spans="1:70" ht="18.75" hidden="1" x14ac:dyDescent="0.25">
      <c r="A3" s="1"/>
      <c r="B3" s="12" t="s">
        <v>3</v>
      </c>
      <c r="D3" s="17">
        <v>3.5000000000000003E-2</v>
      </c>
      <c r="E3" s="17">
        <v>0.05</v>
      </c>
      <c r="F3" s="17">
        <v>0.03</v>
      </c>
      <c r="G3" s="14"/>
      <c r="H3" s="141">
        <f>M22</f>
        <v>4.2500000000000003E-2</v>
      </c>
      <c r="I3" s="15"/>
      <c r="J3" t="s">
        <v>4</v>
      </c>
      <c r="P3" s="18">
        <f>M27</f>
        <v>178228.05306089972</v>
      </c>
      <c r="S3" s="18"/>
      <c r="T3" s="18"/>
      <c r="U3" s="18"/>
      <c r="Y3" s="19"/>
      <c r="AF3" s="19"/>
    </row>
    <row r="4" spans="1:70" ht="18.75" hidden="1" x14ac:dyDescent="0.25">
      <c r="A4" s="1"/>
      <c r="B4" s="12" t="s">
        <v>5</v>
      </c>
      <c r="D4" s="17">
        <v>1.7500000000000002E-2</v>
      </c>
      <c r="E4" s="17">
        <v>2.6599999999999999E-2</v>
      </c>
      <c r="F4" s="17">
        <v>2.8500000000000001E-2</v>
      </c>
      <c r="G4" s="20"/>
      <c r="H4" s="141">
        <f>N22</f>
        <v>4.6249999999999999E-2</v>
      </c>
      <c r="I4" s="15"/>
      <c r="J4" s="12" t="s">
        <v>6</v>
      </c>
      <c r="K4" s="12"/>
      <c r="L4" s="12"/>
      <c r="N4" s="21"/>
      <c r="P4" s="18">
        <f>ROUND(M27*SUMIF($C$23:$C$25,M$9,$D$23:$D$25),2)</f>
        <v>0</v>
      </c>
      <c r="R4" s="12"/>
      <c r="S4" s="18"/>
      <c r="T4" s="18"/>
      <c r="U4" s="18"/>
      <c r="Y4" s="19"/>
      <c r="AF4" s="19"/>
    </row>
    <row r="5" spans="1:70" ht="18.75" hidden="1" x14ac:dyDescent="0.25">
      <c r="A5" s="1"/>
      <c r="B5" s="12" t="s">
        <v>7</v>
      </c>
      <c r="D5" s="17">
        <v>1.35E-2</v>
      </c>
      <c r="E5" s="17">
        <v>7.7000000000000002E-3</v>
      </c>
      <c r="F5" s="17">
        <v>8.5000000000000006E-3</v>
      </c>
      <c r="G5" s="20"/>
      <c r="H5" s="141">
        <f>O22</f>
        <v>4.8750000000000002E-2</v>
      </c>
      <c r="I5" s="15"/>
      <c r="J5" s="12" t="s">
        <v>8</v>
      </c>
      <c r="K5" s="12"/>
      <c r="L5" s="12"/>
      <c r="N5" s="12"/>
      <c r="P5" s="18">
        <f>P3-P4</f>
        <v>178228.05306089972</v>
      </c>
      <c r="R5" s="12"/>
      <c r="S5" s="18"/>
      <c r="T5" s="18"/>
      <c r="U5" s="18"/>
      <c r="Y5" s="19"/>
      <c r="AF5" s="19"/>
    </row>
    <row r="6" spans="1:70" hidden="1" x14ac:dyDescent="0.25">
      <c r="A6" s="1"/>
      <c r="B6" s="14"/>
      <c r="D6" s="14"/>
      <c r="E6" s="22" t="s">
        <v>9</v>
      </c>
      <c r="F6" s="14"/>
      <c r="G6" s="20"/>
      <c r="H6" s="1"/>
      <c r="I6" s="15"/>
      <c r="J6" s="12" t="s">
        <v>10</v>
      </c>
      <c r="K6" s="12"/>
      <c r="L6" s="12"/>
      <c r="M6" s="23"/>
      <c r="N6" s="21"/>
      <c r="P6" s="24">
        <f>ROUND(P5*SUMIF($C$23:$C$25,M$9,$E$23:$E$25),2)</f>
        <v>0</v>
      </c>
      <c r="Q6" s="23"/>
      <c r="R6" s="12"/>
      <c r="S6" s="24"/>
      <c r="T6" s="24"/>
      <c r="U6" s="24"/>
      <c r="Y6" s="19"/>
      <c r="AF6" s="19"/>
    </row>
    <row r="7" spans="1:70" ht="15.75" hidden="1" x14ac:dyDescent="0.25">
      <c r="A7" s="1"/>
      <c r="B7" s="14"/>
      <c r="C7" s="25" t="s">
        <v>11</v>
      </c>
      <c r="D7" s="26"/>
      <c r="E7" s="27"/>
      <c r="F7" s="28" t="s">
        <v>12</v>
      </c>
      <c r="G7" s="29">
        <f>IF(ISNUMBER($T$1),$T$1,H3)</f>
        <v>4.2500000000000003E-2</v>
      </c>
      <c r="H7" s="1"/>
      <c r="I7" s="15"/>
      <c r="J7" s="12" t="s">
        <v>13</v>
      </c>
      <c r="K7" s="12"/>
      <c r="L7" s="12"/>
      <c r="N7" s="12"/>
      <c r="P7" s="18">
        <f>SUM(P5:P6)</f>
        <v>178228.05306089972</v>
      </c>
      <c r="R7" s="12"/>
      <c r="S7" s="18"/>
      <c r="T7" s="18"/>
      <c r="U7" s="18"/>
      <c r="Y7" s="19"/>
      <c r="AF7" s="19"/>
    </row>
    <row r="8" spans="1:70" ht="15.75" hidden="1" x14ac:dyDescent="0.25">
      <c r="A8" s="1"/>
      <c r="B8" s="14"/>
      <c r="C8" s="30" t="s">
        <v>14</v>
      </c>
      <c r="D8" s="31"/>
      <c r="E8" s="28" t="s">
        <v>1</v>
      </c>
      <c r="F8" s="28" t="s">
        <v>15</v>
      </c>
      <c r="G8" s="29">
        <f>IF(ISNUMBER($T$1),$T$1,H4)</f>
        <v>4.6249999999999999E-2</v>
      </c>
      <c r="H8" s="1"/>
      <c r="I8" s="15">
        <f>SUM(M8:V8)</f>
        <v>0</v>
      </c>
      <c r="J8" s="12" t="s">
        <v>16</v>
      </c>
      <c r="K8" s="12"/>
      <c r="L8" s="12"/>
      <c r="N8" s="12"/>
      <c r="P8" s="32" t="str">
        <f>IF(OR(M$23=$C$8,M$23=$C$9,M23=""),"N/A",ROUND(P7-M25,0))</f>
        <v>N/A</v>
      </c>
      <c r="R8" s="12"/>
      <c r="S8" s="32"/>
      <c r="T8" s="32"/>
      <c r="U8" s="32"/>
      <c r="Y8" s="19"/>
      <c r="AF8" s="19"/>
    </row>
    <row r="9" spans="1:70" ht="18.75" hidden="1" x14ac:dyDescent="0.3">
      <c r="A9" s="1"/>
      <c r="B9" s="14"/>
      <c r="C9" s="30" t="s">
        <v>17</v>
      </c>
      <c r="D9" s="31"/>
      <c r="E9" s="28" t="s">
        <v>18</v>
      </c>
      <c r="F9" s="28" t="s">
        <v>19</v>
      </c>
      <c r="G9" s="29">
        <f>IF(ISNUMBER($T$1),$T$1,H5)</f>
        <v>4.8750000000000002E-2</v>
      </c>
      <c r="H9" s="1"/>
      <c r="I9" s="15"/>
      <c r="J9" s="12"/>
      <c r="K9" s="12"/>
      <c r="L9" s="12"/>
      <c r="M9" s="566" t="b">
        <f>IF(M23=$F$7,$C$7,IF(M23=$F$8,$C$8,IF(M23=$F$9,$C$9)))</f>
        <v>0</v>
      </c>
      <c r="N9" s="567"/>
      <c r="O9" s="567"/>
      <c r="P9" s="567"/>
      <c r="R9" s="12"/>
      <c r="S9" s="32"/>
      <c r="T9" s="32"/>
      <c r="U9" s="32"/>
      <c r="Y9" s="19"/>
      <c r="AF9" s="19"/>
    </row>
    <row r="10" spans="1:70" ht="18.75" hidden="1" x14ac:dyDescent="0.3">
      <c r="A10" s="1">
        <f>W13</f>
        <v>5.383071766118519E-10</v>
      </c>
      <c r="B10" s="2"/>
      <c r="C10" s="33"/>
      <c r="D10" s="33"/>
      <c r="E10" s="33"/>
      <c r="F10" s="33"/>
      <c r="G10" s="33"/>
      <c r="H10" s="1"/>
      <c r="I10" s="33">
        <f>SUM(I120:I219)</f>
        <v>-2.1600499167107046E-12</v>
      </c>
      <c r="J10" s="12"/>
      <c r="K10" s="12"/>
      <c r="L10" s="12"/>
      <c r="N10" s="34"/>
      <c r="O10" s="34"/>
      <c r="P10" s="34"/>
      <c r="R10" s="12"/>
      <c r="S10" s="32"/>
      <c r="T10" s="32"/>
      <c r="U10" s="32"/>
      <c r="Y10" s="19"/>
      <c r="AF10" s="19"/>
    </row>
    <row r="11" spans="1:70" ht="2.1" customHeight="1" x14ac:dyDescent="0.25">
      <c r="A11" s="1"/>
      <c r="B11" s="14"/>
      <c r="C11" s="14"/>
      <c r="D11" s="20"/>
      <c r="E11" s="20"/>
      <c r="F11" s="20"/>
      <c r="G11" s="20"/>
      <c r="H11" s="1"/>
      <c r="I11" s="15"/>
      <c r="J11" s="12"/>
      <c r="K11" s="12"/>
      <c r="L11" s="12"/>
      <c r="M11" s="12"/>
      <c r="N11" s="12"/>
      <c r="O11" s="12"/>
      <c r="Q11" s="12"/>
      <c r="R11" s="12"/>
      <c r="S11" s="12"/>
      <c r="Y11" s="19"/>
      <c r="AF11" s="19"/>
    </row>
    <row r="12" spans="1:70" ht="46.5" x14ac:dyDescent="0.25">
      <c r="A12" s="1">
        <f>X13</f>
        <v>-1.113686920461987E-10</v>
      </c>
      <c r="B12" s="35">
        <f>SUM($I33:$I109)</f>
        <v>-6.9072298644612395E-9</v>
      </c>
      <c r="C12" s="35">
        <f>SUM($I111:$I210)</f>
        <v>0</v>
      </c>
      <c r="D12" s="35">
        <f>SUM($I211:$I270)</f>
        <v>-9.163159120362252E-11</v>
      </c>
      <c r="E12" s="35">
        <f>I8</f>
        <v>0</v>
      </c>
      <c r="F12" s="35">
        <f>W13</f>
        <v>5.383071766118519E-10</v>
      </c>
      <c r="G12" s="35">
        <f>X13</f>
        <v>-1.113686920461987E-10</v>
      </c>
      <c r="H12" s="1"/>
      <c r="I12" s="231">
        <f>SUM(I220:I270)</f>
        <v>-8.9471541286911815E-11</v>
      </c>
      <c r="J12" s="410" t="s">
        <v>155</v>
      </c>
      <c r="K12" s="142"/>
      <c r="L12" s="142"/>
      <c r="M12" s="143"/>
      <c r="N12" s="143"/>
      <c r="O12" s="143"/>
      <c r="P12" s="144"/>
      <c r="Q12" s="143"/>
      <c r="R12" s="143"/>
      <c r="S12" s="143"/>
      <c r="T12" s="144"/>
      <c r="U12" s="144"/>
      <c r="V12" s="148"/>
      <c r="W12" s="148"/>
      <c r="X12" s="148"/>
      <c r="Y12" s="148"/>
      <c r="Z12" s="148"/>
      <c r="AA12" s="148"/>
      <c r="AB12" s="148"/>
      <c r="AC12" s="148"/>
      <c r="AD12" s="148"/>
      <c r="AE12" s="148"/>
      <c r="AF12" s="148"/>
      <c r="AG12" s="148"/>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c r="BI12" s="148"/>
      <c r="BJ12" s="148"/>
      <c r="BK12" s="148"/>
    </row>
    <row r="13" spans="1:70" ht="28.5" x14ac:dyDescent="0.3">
      <c r="A13" s="19"/>
      <c r="C13" s="36" t="s">
        <v>18</v>
      </c>
      <c r="D13" s="37" t="s">
        <v>6</v>
      </c>
      <c r="E13" s="37" t="s">
        <v>10</v>
      </c>
      <c r="F13" s="419" t="s">
        <v>20</v>
      </c>
      <c r="G13" s="12"/>
      <c r="H13" s="19"/>
      <c r="I13" s="232">
        <f>IF(SUM(M25)=0,"N/A",SUM(I33:I270)+I8+W13+X13)</f>
        <v>-6.5719229710992089E-9</v>
      </c>
      <c r="J13" s="411" t="s">
        <v>154</v>
      </c>
      <c r="K13" s="412"/>
      <c r="L13" s="413"/>
      <c r="M13" s="180"/>
      <c r="N13" s="180"/>
      <c r="O13" s="180"/>
      <c r="P13" s="414"/>
      <c r="Q13" s="180"/>
      <c r="R13" s="180"/>
      <c r="S13" s="180"/>
      <c r="T13" s="414"/>
      <c r="U13" s="415"/>
      <c r="V13" s="416"/>
      <c r="W13" s="417">
        <f>SUM(W23:W654)</f>
        <v>5.383071766118519E-10</v>
      </c>
      <c r="X13" s="417">
        <f>SUM(X23:X654)</f>
        <v>-1.113686920461987E-10</v>
      </c>
      <c r="Y13" s="416"/>
      <c r="Z13" s="416"/>
      <c r="AA13" s="416"/>
      <c r="AB13" s="416"/>
      <c r="AC13" s="416"/>
      <c r="AD13" s="416"/>
      <c r="AE13" s="416"/>
      <c r="AF13" s="416"/>
      <c r="AG13" s="416"/>
      <c r="AH13" s="416"/>
      <c r="AI13" s="416"/>
      <c r="AJ13" s="416"/>
      <c r="AK13" s="416"/>
      <c r="AL13" s="416"/>
      <c r="AM13" s="416"/>
      <c r="AN13" s="416"/>
      <c r="AO13" s="416"/>
      <c r="AP13" s="416"/>
      <c r="AQ13" s="416"/>
      <c r="AR13" s="416"/>
      <c r="AS13" s="416"/>
      <c r="AT13" s="416"/>
      <c r="AU13" s="416"/>
      <c r="AV13" s="416"/>
      <c r="AW13" s="416"/>
      <c r="AX13" s="416"/>
      <c r="AY13" s="416"/>
      <c r="AZ13" s="416"/>
      <c r="BA13" s="416"/>
      <c r="BB13" s="416"/>
      <c r="BC13" s="416"/>
      <c r="BD13" s="416"/>
      <c r="BE13" s="416"/>
      <c r="BF13" s="416"/>
      <c r="BG13" s="416"/>
      <c r="BH13" s="416"/>
      <c r="BI13" s="416"/>
      <c r="BJ13" s="416"/>
      <c r="BK13" s="416"/>
      <c r="BL13" s="418"/>
      <c r="BM13" s="418"/>
      <c r="BN13" s="418"/>
      <c r="BO13" s="418"/>
      <c r="BP13" s="418"/>
      <c r="BQ13" s="418"/>
      <c r="BR13" s="418"/>
    </row>
    <row r="14" spans="1:70" ht="8.1" hidden="1" customHeight="1" x14ac:dyDescent="0.25">
      <c r="A14" s="19"/>
      <c r="C14" s="38"/>
      <c r="D14" s="39"/>
      <c r="E14" s="40"/>
      <c r="G14" s="12"/>
      <c r="H14" s="19"/>
      <c r="I14" s="152"/>
      <c r="J14" s="147"/>
      <c r="K14" s="147"/>
      <c r="L14" s="147"/>
      <c r="M14" s="145"/>
      <c r="N14" s="145"/>
      <c r="O14" s="145"/>
      <c r="P14" s="148"/>
      <c r="Q14" s="145"/>
      <c r="R14" s="145"/>
      <c r="S14" s="145"/>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row>
    <row r="15" spans="1:70" ht="28.5" hidden="1" customHeight="1" x14ac:dyDescent="0.25">
      <c r="A15" s="19"/>
      <c r="C15" s="38"/>
      <c r="D15" s="39"/>
      <c r="E15" s="40"/>
      <c r="G15" s="12"/>
      <c r="H15" s="19"/>
      <c r="I15" s="233"/>
      <c r="J15" s="149" t="s">
        <v>21</v>
      </c>
      <c r="K15" s="149"/>
      <c r="L15" s="149"/>
      <c r="M15" s="150"/>
      <c r="N15" s="150"/>
      <c r="O15" s="150"/>
      <c r="P15" s="148"/>
      <c r="Q15" s="150"/>
      <c r="R15" s="150"/>
      <c r="S15" s="150"/>
      <c r="T15" s="148"/>
      <c r="U15" s="148"/>
      <c r="V15" s="148"/>
      <c r="W15" s="148"/>
      <c r="X15" s="148"/>
      <c r="Y15" s="148"/>
      <c r="Z15" s="148"/>
      <c r="AA15" s="148"/>
      <c r="AB15" s="148"/>
      <c r="AC15" s="148"/>
      <c r="AD15" s="148"/>
      <c r="AE15" s="148"/>
      <c r="AF15" s="148"/>
      <c r="AG15" s="148"/>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c r="BI15" s="148"/>
      <c r="BJ15" s="148"/>
      <c r="BK15" s="148"/>
    </row>
    <row r="16" spans="1:70" ht="23.25" hidden="1" customHeight="1" x14ac:dyDescent="0.25">
      <c r="A16" s="19"/>
      <c r="C16" s="38"/>
      <c r="D16" s="39"/>
      <c r="E16" s="40"/>
      <c r="G16" s="12"/>
      <c r="H16" s="19"/>
      <c r="I16" s="234"/>
      <c r="J16" s="151" t="s">
        <v>22</v>
      </c>
      <c r="K16" s="151"/>
      <c r="L16" s="151"/>
      <c r="M16" s="152"/>
      <c r="N16" s="152"/>
      <c r="O16" s="152"/>
      <c r="P16" s="148"/>
      <c r="Q16" s="152"/>
      <c r="R16" s="152"/>
      <c r="S16" s="152"/>
      <c r="T16" s="148"/>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c r="BI16" s="148"/>
      <c r="BJ16" s="148"/>
      <c r="BK16" s="148"/>
    </row>
    <row r="17" spans="1:63" ht="28.5" hidden="1" customHeight="1" x14ac:dyDescent="0.25">
      <c r="A17" s="19"/>
      <c r="C17" s="38"/>
      <c r="D17" s="39"/>
      <c r="E17" s="40"/>
      <c r="G17" s="12"/>
      <c r="H17" s="19"/>
      <c r="I17" s="233"/>
      <c r="J17" s="149" t="s">
        <v>23</v>
      </c>
      <c r="K17" s="149"/>
      <c r="L17" s="149"/>
      <c r="M17" s="150"/>
      <c r="N17" s="150"/>
      <c r="O17" s="150"/>
      <c r="P17" s="148"/>
      <c r="Q17" s="150"/>
      <c r="R17" s="150"/>
      <c r="S17" s="150"/>
      <c r="T17" s="148"/>
      <c r="U17" s="148"/>
      <c r="V17" s="148"/>
      <c r="W17" s="148"/>
      <c r="X17" s="148"/>
      <c r="Y17" s="148"/>
      <c r="Z17" s="148"/>
      <c r="AA17" s="148"/>
      <c r="AB17" s="148"/>
      <c r="AC17" s="148"/>
      <c r="AD17" s="148"/>
      <c r="AE17" s="148"/>
      <c r="AF17" s="148"/>
      <c r="AG17" s="148"/>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c r="BI17" s="148"/>
      <c r="BJ17" s="148"/>
      <c r="BK17" s="148"/>
    </row>
    <row r="18" spans="1:63" ht="23.25" hidden="1" customHeight="1" x14ac:dyDescent="0.25">
      <c r="A18" s="19"/>
      <c r="C18" s="38"/>
      <c r="D18" s="39"/>
      <c r="E18" s="40"/>
      <c r="G18" s="12"/>
      <c r="H18" s="19"/>
      <c r="I18" s="234"/>
      <c r="J18" s="151" t="s">
        <v>22</v>
      </c>
      <c r="K18" s="151"/>
      <c r="L18" s="151"/>
      <c r="M18" s="152"/>
      <c r="N18" s="152"/>
      <c r="O18" s="152"/>
      <c r="P18" s="148"/>
      <c r="Q18" s="152"/>
      <c r="R18" s="152"/>
      <c r="S18" s="152"/>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c r="BI18" s="148"/>
      <c r="BJ18" s="148"/>
      <c r="BK18" s="148"/>
    </row>
    <row r="19" spans="1:63" ht="28.5" hidden="1" customHeight="1" x14ac:dyDescent="0.25">
      <c r="A19" s="19"/>
      <c r="C19" s="38"/>
      <c r="D19" s="39"/>
      <c r="E19" s="40"/>
      <c r="G19" s="12"/>
      <c r="H19" s="19"/>
      <c r="I19" s="233"/>
      <c r="J19" s="149" t="s">
        <v>24</v>
      </c>
      <c r="K19" s="149"/>
      <c r="L19" s="149"/>
      <c r="M19" s="150"/>
      <c r="N19" s="150"/>
      <c r="O19" s="150"/>
      <c r="P19" s="148"/>
      <c r="Q19" s="150"/>
      <c r="R19" s="150"/>
      <c r="S19" s="150"/>
      <c r="T19" s="148"/>
      <c r="U19" s="148"/>
      <c r="V19" s="148"/>
      <c r="W19" s="148"/>
      <c r="X19" s="148"/>
      <c r="Y19" s="148"/>
      <c r="Z19" s="148"/>
      <c r="AA19" s="148"/>
      <c r="AB19" s="148"/>
      <c r="AC19" s="148"/>
      <c r="AD19" s="148"/>
      <c r="AE19" s="148"/>
      <c r="AF19" s="148"/>
      <c r="AG19" s="148"/>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c r="BI19" s="148"/>
      <c r="BJ19" s="148"/>
      <c r="BK19" s="148"/>
    </row>
    <row r="20" spans="1:63" ht="23.25" hidden="1" customHeight="1" x14ac:dyDescent="0.25">
      <c r="A20" s="19"/>
      <c r="C20" s="38"/>
      <c r="D20" s="39"/>
      <c r="E20" s="40"/>
      <c r="G20" s="12"/>
      <c r="H20" s="19"/>
      <c r="I20" s="234"/>
      <c r="J20" s="151" t="s">
        <v>25</v>
      </c>
      <c r="K20" s="151"/>
      <c r="L20" s="151"/>
      <c r="M20" s="152"/>
      <c r="N20" s="152"/>
      <c r="O20" s="152"/>
      <c r="P20" s="148"/>
      <c r="Q20" s="152"/>
      <c r="R20" s="152"/>
      <c r="S20" s="152"/>
      <c r="T20" s="148"/>
      <c r="U20" s="148"/>
      <c r="V20" s="148"/>
      <c r="W20" s="148"/>
      <c r="X20" s="148"/>
      <c r="Y20" s="148"/>
      <c r="Z20" s="148"/>
      <c r="AA20" s="148"/>
      <c r="AB20" s="148"/>
      <c r="AC20" s="148"/>
      <c r="AD20" s="148"/>
      <c r="AE20" s="148"/>
      <c r="AF20" s="148"/>
      <c r="AG20" s="148"/>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c r="BI20" s="148"/>
      <c r="BJ20" s="148"/>
      <c r="BK20" s="148"/>
    </row>
    <row r="21" spans="1:63" ht="26.25" hidden="1" customHeight="1" x14ac:dyDescent="0.25">
      <c r="A21" s="19"/>
      <c r="C21" s="38"/>
      <c r="D21" s="39"/>
      <c r="E21" s="40"/>
      <c r="G21" s="12"/>
      <c r="H21" s="19"/>
      <c r="I21" s="234"/>
      <c r="J21" s="153" t="s">
        <v>26</v>
      </c>
      <c r="K21" s="153"/>
      <c r="L21" s="153"/>
      <c r="M21" s="152"/>
      <c r="N21" s="152"/>
      <c r="O21" s="152"/>
      <c r="P21" s="148"/>
      <c r="Q21" s="152"/>
      <c r="R21" s="152"/>
      <c r="S21" s="152"/>
      <c r="T21" s="148"/>
      <c r="U21" s="148"/>
      <c r="V21" s="148"/>
      <c r="W21" s="148"/>
      <c r="X21" s="148"/>
      <c r="Y21" s="148"/>
      <c r="Z21" s="148"/>
      <c r="AA21" s="148"/>
      <c r="AB21" s="148"/>
      <c r="AC21" s="148"/>
      <c r="AD21" s="148"/>
      <c r="AE21" s="148"/>
      <c r="AF21" s="148"/>
      <c r="AG21" s="148"/>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c r="BI21" s="148"/>
      <c r="BJ21" s="148"/>
      <c r="BK21" s="148"/>
    </row>
    <row r="22" spans="1:63" ht="8.1" customHeight="1" thickBot="1" x14ac:dyDescent="0.3">
      <c r="A22" s="19"/>
      <c r="C22" s="38"/>
      <c r="D22" s="39"/>
      <c r="E22" s="40"/>
      <c r="F22" s="40"/>
      <c r="G22" s="12"/>
      <c r="H22" s="19"/>
      <c r="I22" s="177"/>
      <c r="J22" s="568" t="str">
        <f>IF(SUM(M31)=0,"",IF(ROUND(SUM(I13),3)=0,"","CHECK MODEL CALCULATIONS"))</f>
        <v/>
      </c>
      <c r="K22" s="569"/>
      <c r="L22" s="569"/>
      <c r="M22" s="154">
        <v>4.2500000000000003E-2</v>
      </c>
      <c r="N22" s="154">
        <v>4.6249999999999999E-2</v>
      </c>
      <c r="O22" s="154">
        <f>N22+0.0025</f>
        <v>4.8750000000000002E-2</v>
      </c>
      <c r="P22" s="148"/>
      <c r="Q22" s="148"/>
      <c r="R22" s="148"/>
      <c r="S22" s="148"/>
      <c r="T22" s="148"/>
      <c r="U22" s="148"/>
      <c r="V22" s="148"/>
      <c r="W22" s="148"/>
      <c r="X22" s="148"/>
      <c r="Y22" s="148"/>
      <c r="Z22" s="148"/>
      <c r="AA22" s="148"/>
      <c r="AB22" s="148"/>
      <c r="AC22" s="148"/>
      <c r="AD22" s="148"/>
      <c r="AE22" s="148"/>
      <c r="AF22" s="148"/>
      <c r="AG22" s="148"/>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c r="BI22" s="148"/>
      <c r="BJ22" s="148"/>
      <c r="BK22" s="148"/>
    </row>
    <row r="23" spans="1:63" ht="56.1" customHeight="1" x14ac:dyDescent="0.25">
      <c r="A23" s="19"/>
      <c r="C23" s="36" t="str">
        <f>C7</f>
        <v>FHA Mortgage</v>
      </c>
      <c r="D23" s="41">
        <f>SUMIF($D$2:$F$2,$C23,$D$3:$F$3)</f>
        <v>3.5000000000000003E-2</v>
      </c>
      <c r="E23" s="41">
        <f>IF(AND($C$13=$E$9,OR($C23=$C$8,$C23=$C$9)),"N/A",SUMIF($D$2:$F$2,$C23,$D$4:$F$4))</f>
        <v>1.7500000000000002E-2</v>
      </c>
      <c r="F23" s="41">
        <f>IF(AND($C$13=$E$8,OR($C23=$C$8,$C23=$C$9)),"N/A",SUMIF($D$2:$F$2,$C23,$D$5:$F$5))</f>
        <v>1.35E-2</v>
      </c>
      <c r="G23" s="42">
        <f>SUMIF($C$7:$C$9,$C23,$G$7:$G$9)</f>
        <v>4.2500000000000003E-2</v>
      </c>
      <c r="H23" s="19"/>
      <c r="I23" s="235"/>
      <c r="J23" s="570" t="s">
        <v>27</v>
      </c>
      <c r="K23" s="571"/>
      <c r="L23" s="490"/>
      <c r="M23" s="572"/>
      <c r="N23" s="573"/>
      <c r="O23" s="573"/>
      <c r="P23" s="574"/>
      <c r="Q23" s="575" t="s">
        <v>28</v>
      </c>
      <c r="R23" s="576"/>
      <c r="S23" s="576"/>
      <c r="T23" s="576"/>
      <c r="U23" s="155"/>
      <c r="V23" s="148"/>
      <c r="W23" s="148"/>
      <c r="X23" s="148"/>
      <c r="Y23" s="148"/>
      <c r="Z23" s="148"/>
      <c r="AA23" s="148"/>
      <c r="AB23" s="148"/>
      <c r="AC23" s="148"/>
      <c r="AD23" s="148"/>
      <c r="AE23" s="148"/>
      <c r="AF23" s="148"/>
      <c r="AG23" s="148"/>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c r="BI23" s="148"/>
      <c r="BJ23" s="148"/>
      <c r="BK23" s="148"/>
    </row>
    <row r="24" spans="1:63" ht="56.1" customHeight="1" x14ac:dyDescent="0.25">
      <c r="A24" s="19"/>
      <c r="C24" s="36" t="str">
        <f>C8</f>
        <v>95% LTV Conventional</v>
      </c>
      <c r="D24" s="41">
        <f t="shared" ref="D24:D25" si="0">SUMIF($D$2:$F$2,$C24,$D$3:$F$3)</f>
        <v>0.05</v>
      </c>
      <c r="E24" s="41" t="str">
        <f>IF(AND($C$13=$E$9,OR($C24=$C$8,$C24=$C$9)),"N/A",SUMIF($D$2:$F$2,$C24,$D$4:$F$4))</f>
        <v>N/A</v>
      </c>
      <c r="F24" s="41">
        <f>IF(AND($C$13=$E$8,OR($C24=$C$8,$C24=$C$9)),"N/A",SUMIF($D$2:$F$2,$C24,$D$5:$F$5))</f>
        <v>7.7000000000000002E-3</v>
      </c>
      <c r="G24" s="42">
        <f t="shared" ref="G24:G25" si="1">SUMIF($C$7:$C$9,$C24,$G$7:$G$9)</f>
        <v>4.6249999999999999E-2</v>
      </c>
      <c r="H24" s="19"/>
      <c r="I24" s="235"/>
      <c r="J24" s="511" t="s">
        <v>29</v>
      </c>
      <c r="K24" s="512"/>
      <c r="L24" s="497"/>
      <c r="M24" s="577">
        <v>4.4999999999999998E-2</v>
      </c>
      <c r="N24" s="578"/>
      <c r="O24" s="578"/>
      <c r="P24" s="579"/>
      <c r="Q24" s="561" t="s">
        <v>151</v>
      </c>
      <c r="R24" s="562"/>
      <c r="S24" s="562"/>
      <c r="T24" s="562"/>
      <c r="U24" s="156"/>
      <c r="V24" s="148"/>
      <c r="W24" s="148"/>
      <c r="X24" s="148"/>
      <c r="Y24" s="148"/>
      <c r="Z24" s="148"/>
      <c r="AA24" s="148"/>
      <c r="AB24" s="148"/>
      <c r="AC24" s="148"/>
      <c r="AD24" s="148"/>
      <c r="AE24" s="148"/>
      <c r="AF24" s="148"/>
      <c r="AG24" s="148"/>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c r="BI24" s="148"/>
      <c r="BJ24" s="148"/>
      <c r="BK24" s="148"/>
    </row>
    <row r="25" spans="1:63" ht="56.1" customHeight="1" thickBot="1" x14ac:dyDescent="0.3">
      <c r="A25" s="19"/>
      <c r="C25" s="36" t="str">
        <f>C9</f>
        <v>97% LTV Conventional</v>
      </c>
      <c r="D25" s="41">
        <f t="shared" si="0"/>
        <v>0.03</v>
      </c>
      <c r="E25" s="41" t="str">
        <f>IF(AND($C$13=$E$9,OR($C25=$C$8,$C25=$C$9)),"N/A",SUMIF($D$2:$F$2,$C25,$D$4:$F$4))</f>
        <v>N/A</v>
      </c>
      <c r="F25" s="41">
        <f>IF(AND($C$13=$E$8,OR($C25=$C$8,$C25=$C$9)),"N/A",SUMIF($D$2:$F$2,$C25,$D$5:$F$5))</f>
        <v>8.5000000000000006E-3</v>
      </c>
      <c r="G25" s="42">
        <f t="shared" si="1"/>
        <v>4.8750000000000002E-2</v>
      </c>
      <c r="H25" s="19"/>
      <c r="I25" s="235"/>
      <c r="J25" s="511" t="s">
        <v>30</v>
      </c>
      <c r="K25" s="512"/>
      <c r="L25" s="497"/>
      <c r="M25" s="558">
        <v>175000</v>
      </c>
      <c r="N25" s="559"/>
      <c r="O25" s="559"/>
      <c r="P25" s="560"/>
      <c r="Q25" s="561" t="s">
        <v>31</v>
      </c>
      <c r="R25" s="562"/>
      <c r="S25" s="562"/>
      <c r="T25" s="562"/>
      <c r="U25" s="156"/>
      <c r="V25" s="148"/>
      <c r="W25" s="148"/>
      <c r="X25" s="148"/>
      <c r="Y25" s="148"/>
      <c r="Z25" s="148"/>
      <c r="AA25" s="148"/>
      <c r="AB25" s="148"/>
      <c r="AC25" s="148"/>
      <c r="AD25" s="148"/>
      <c r="AE25" s="148"/>
      <c r="AF25" s="148"/>
      <c r="AG25" s="148"/>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c r="BI25" s="148"/>
      <c r="BJ25" s="148"/>
      <c r="BK25" s="148"/>
    </row>
    <row r="26" spans="1:63" ht="56.1" customHeight="1" thickBot="1" x14ac:dyDescent="0.3">
      <c r="A26" s="19"/>
      <c r="D26" s="43" t="str">
        <f>R1</f>
        <v>Single</v>
      </c>
      <c r="E26" s="44" t="s">
        <v>32</v>
      </c>
      <c r="F26" s="45" t="s">
        <v>33</v>
      </c>
      <c r="G26" s="46">
        <f>Q1</f>
        <v>0</v>
      </c>
      <c r="H26" s="47">
        <f>IF(ISNUMBER(M26),DAY(M26),"")</f>
        <v>1</v>
      </c>
      <c r="I26" s="235"/>
      <c r="J26" s="511" t="s">
        <v>34</v>
      </c>
      <c r="K26" s="512"/>
      <c r="L26" s="497"/>
      <c r="M26" s="563">
        <v>41852</v>
      </c>
      <c r="N26" s="564"/>
      <c r="O26" s="564"/>
      <c r="P26" s="565"/>
      <c r="Q26" s="561" t="s">
        <v>35</v>
      </c>
      <c r="R26" s="562"/>
      <c r="S26" s="562"/>
      <c r="T26" s="562"/>
      <c r="U26" s="156"/>
      <c r="V26" s="148"/>
      <c r="W26" s="148"/>
      <c r="X26" s="148"/>
      <c r="Y26" s="148"/>
      <c r="Z26" s="148"/>
      <c r="AA26" s="148"/>
      <c r="AB26" s="148"/>
      <c r="AC26" s="148"/>
      <c r="AD26" s="148"/>
      <c r="AE26" s="148"/>
      <c r="AF26" s="148"/>
      <c r="AG26" s="148"/>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c r="BI26" s="148"/>
      <c r="BJ26" s="148"/>
      <c r="BK26" s="148"/>
    </row>
    <row r="27" spans="1:63" ht="36" hidden="1" customHeight="1" x14ac:dyDescent="0.25">
      <c r="A27" s="19"/>
      <c r="H27" s="19"/>
      <c r="I27" s="148"/>
      <c r="J27" s="511" t="s">
        <v>36</v>
      </c>
      <c r="K27" s="543"/>
      <c r="L27" s="497"/>
      <c r="M27" s="580">
        <f>IF($E26="YES",(M25/(1-$E23))+((M25/(1-$E23)*$E23*$D23))+((((M25/(1-$E23)-((M25/(1-$E23)*$E23*$D23))))*$E23*$D23)*$E23),IF(OR(M9=$C$8,M9=$C$9),M25/(1-SUMIF($C$23:$C$25,M$9,$D$23:$D$25)),(M25/(1-$E23))+((M25/(1-$E23)*$E23*$D23))+((((M25/(1-$E23)-((M25/(1-$E23)*$E23*$D23))))*$E23*$D23)*$E23)))</f>
        <v>178228.05306089972</v>
      </c>
      <c r="N27" s="545"/>
      <c r="O27" s="545"/>
      <c r="P27" s="546"/>
      <c r="Q27" s="530" t="s">
        <v>37</v>
      </c>
      <c r="R27" s="531"/>
      <c r="S27" s="531"/>
      <c r="T27" s="531"/>
      <c r="U27" s="157"/>
      <c r="V27" s="148"/>
      <c r="W27" s="148"/>
      <c r="X27" s="148"/>
      <c r="Y27" s="148"/>
      <c r="Z27" s="148"/>
      <c r="AA27" s="148"/>
      <c r="AB27" s="148"/>
      <c r="AC27" s="148"/>
      <c r="AD27" s="148"/>
      <c r="AE27" s="148"/>
      <c r="AF27" s="148"/>
      <c r="AG27" s="148"/>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c r="BI27" s="148"/>
      <c r="BJ27" s="148"/>
      <c r="BK27" s="148"/>
    </row>
    <row r="28" spans="1:63" ht="36" hidden="1" customHeight="1" x14ac:dyDescent="0.25">
      <c r="A28" s="19"/>
      <c r="C28" s="44" t="s">
        <v>1</v>
      </c>
      <c r="D28" s="48">
        <v>6100</v>
      </c>
      <c r="E28" s="44"/>
      <c r="F28" s="44"/>
      <c r="H28" s="19"/>
      <c r="I28" s="148"/>
      <c r="J28" s="495" t="s">
        <v>38</v>
      </c>
      <c r="K28" s="543"/>
      <c r="L28" s="497"/>
      <c r="M28" s="555">
        <f>M25/M27</f>
        <v>0.98188807538734257</v>
      </c>
      <c r="N28" s="556"/>
      <c r="O28" s="556"/>
      <c r="P28" s="557"/>
      <c r="Q28" s="530" t="s">
        <v>39</v>
      </c>
      <c r="R28" s="531"/>
      <c r="S28" s="531"/>
      <c r="T28" s="531"/>
      <c r="U28" s="157"/>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c r="BI28" s="148"/>
      <c r="BJ28" s="148"/>
      <c r="BK28" s="148"/>
    </row>
    <row r="29" spans="1:63" ht="42" hidden="1" customHeight="1" x14ac:dyDescent="0.25">
      <c r="A29" s="19"/>
      <c r="C29" s="44" t="s">
        <v>40</v>
      </c>
      <c r="D29" s="48">
        <v>12200</v>
      </c>
      <c r="E29" s="44" t="s">
        <v>32</v>
      </c>
      <c r="F29" s="49">
        <v>0.28000000000000003</v>
      </c>
      <c r="G29" s="50">
        <v>68000</v>
      </c>
      <c r="H29" s="19"/>
      <c r="I29" s="148"/>
      <c r="J29" s="495" t="str">
        <f>IF(E29="NO","Assumed Borrower Income",CONCATENATE("Assumed Borrower Income (with ",TEXT(F29,"0%")," DTI)"))</f>
        <v>Assumed Borrower Income</v>
      </c>
      <c r="K29" s="543"/>
      <c r="L29" s="497"/>
      <c r="M29" s="552">
        <f>IF($E29="YES",(M37*12)/$F29,$G29)</f>
        <v>68000</v>
      </c>
      <c r="N29" s="553"/>
      <c r="O29" s="553"/>
      <c r="P29" s="554"/>
      <c r="Q29" s="530" t="s">
        <v>41</v>
      </c>
      <c r="R29" s="531"/>
      <c r="S29" s="531"/>
      <c r="T29" s="531"/>
      <c r="U29" s="157"/>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row>
    <row r="30" spans="1:63" ht="42" hidden="1" customHeight="1" x14ac:dyDescent="0.25">
      <c r="A30" s="19"/>
      <c r="F30" s="44" t="s">
        <v>32</v>
      </c>
      <c r="G30" s="51">
        <f>S1</f>
        <v>0.25</v>
      </c>
      <c r="H30" s="19"/>
      <c r="I30" s="148"/>
      <c r="J30" s="495" t="s">
        <v>42</v>
      </c>
      <c r="K30" s="543"/>
      <c r="L30" s="497"/>
      <c r="M30" s="555">
        <f>IF($F$30="YES",$G$30,M137)</f>
        <v>0.25</v>
      </c>
      <c r="N30" s="556"/>
      <c r="O30" s="556"/>
      <c r="P30" s="557"/>
      <c r="Q30" s="530" t="s">
        <v>41</v>
      </c>
      <c r="R30" s="531"/>
      <c r="S30" s="531"/>
      <c r="T30" s="531"/>
      <c r="U30" s="157"/>
      <c r="V30" s="148"/>
      <c r="W30" s="148"/>
      <c r="X30" s="148"/>
      <c r="Y30" s="148"/>
      <c r="Z30" s="148"/>
      <c r="AA30" s="148"/>
      <c r="AB30" s="148"/>
      <c r="AC30" s="148"/>
      <c r="AD30" s="148"/>
      <c r="AE30" s="148"/>
      <c r="AF30" s="148"/>
      <c r="AG30" s="148"/>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c r="BI30" s="148"/>
      <c r="BJ30" s="148"/>
      <c r="BK30" s="148"/>
    </row>
    <row r="31" spans="1:63" ht="39" hidden="1" customHeight="1" x14ac:dyDescent="0.25">
      <c r="A31" s="19"/>
      <c r="C31" s="52"/>
      <c r="D31" s="12"/>
      <c r="E31" s="21"/>
      <c r="F31" s="21">
        <f>-PMT(M31/12,$G$48,M25)</f>
        <v>886.69929219529126</v>
      </c>
      <c r="G31" s="49">
        <f>T1</f>
        <v>0</v>
      </c>
      <c r="H31" s="19"/>
      <c r="I31" s="148"/>
      <c r="J31" s="511" t="s">
        <v>43</v>
      </c>
      <c r="K31" s="543"/>
      <c r="L31" s="497"/>
      <c r="M31" s="544">
        <f>IF(ISNUMBER(M24),M24,IF(SUMIF($C$23:$C$25,M$9,$G$23:$G$25)=0,G31,SUMIF($C$23:$C$25,M$9,$G$23:$G$25)))</f>
        <v>4.4999999999999998E-2</v>
      </c>
      <c r="N31" s="545"/>
      <c r="O31" s="545"/>
      <c r="P31" s="546"/>
      <c r="Q31" s="530" t="s">
        <v>44</v>
      </c>
      <c r="R31" s="531"/>
      <c r="S31" s="531"/>
      <c r="T31" s="531"/>
      <c r="U31" s="157"/>
      <c r="V31" s="148"/>
      <c r="W31" s="148"/>
      <c r="X31" s="148"/>
      <c r="Y31" s="148"/>
      <c r="Z31" s="148"/>
      <c r="AA31" s="148"/>
      <c r="AB31" s="148"/>
      <c r="AC31" s="148"/>
      <c r="AD31" s="148"/>
      <c r="AE31" s="148"/>
      <c r="AF31" s="148"/>
      <c r="AG31" s="148"/>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c r="BI31" s="148"/>
      <c r="BJ31" s="148"/>
      <c r="BK31" s="148"/>
    </row>
    <row r="32" spans="1:63" ht="56.1" customHeight="1" x14ac:dyDescent="0.25">
      <c r="A32" s="19"/>
      <c r="E32" s="12"/>
      <c r="F32" s="12"/>
      <c r="G32" s="12"/>
      <c r="H32" s="19"/>
      <c r="I32" s="236">
        <f>M32-M124</f>
        <v>0</v>
      </c>
      <c r="J32" s="511" t="s">
        <v>45</v>
      </c>
      <c r="K32" s="512"/>
      <c r="L32" s="497"/>
      <c r="M32" s="547">
        <f>-PMT(M31/12,C48,M25)</f>
        <v>886.69929219529126</v>
      </c>
      <c r="N32" s="548"/>
      <c r="O32" s="548">
        <f>M124</f>
        <v>886.69929219529126</v>
      </c>
      <c r="P32" s="549"/>
      <c r="Q32" s="550" t="s">
        <v>46</v>
      </c>
      <c r="R32" s="551"/>
      <c r="S32" s="551"/>
      <c r="T32" s="551"/>
      <c r="U32" s="15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c r="BI32" s="148"/>
      <c r="BJ32" s="148"/>
      <c r="BK32" s="148"/>
    </row>
    <row r="33" spans="1:113" ht="56.1" customHeight="1" thickBot="1" x14ac:dyDescent="0.3">
      <c r="A33" s="19"/>
      <c r="D33" s="12"/>
      <c r="E33" s="12"/>
      <c r="F33" s="12"/>
      <c r="G33" s="53">
        <f>P1</f>
        <v>0.25</v>
      </c>
      <c r="H33" s="19"/>
      <c r="I33" s="235"/>
      <c r="J33" s="533" t="s">
        <v>47</v>
      </c>
      <c r="K33" s="534"/>
      <c r="L33" s="469"/>
      <c r="M33" s="535">
        <f>G33</f>
        <v>0.25</v>
      </c>
      <c r="N33" s="536"/>
      <c r="O33" s="536"/>
      <c r="P33" s="537"/>
      <c r="Q33" s="538" t="s">
        <v>48</v>
      </c>
      <c r="R33" s="539"/>
      <c r="S33" s="539"/>
      <c r="T33" s="539"/>
      <c r="U33" s="159"/>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c r="BI33" s="148"/>
      <c r="BJ33" s="148"/>
      <c r="BK33" s="148"/>
    </row>
    <row r="34" spans="1:113" ht="12" customHeight="1" thickBot="1" x14ac:dyDescent="0.3">
      <c r="A34" s="19"/>
      <c r="H34" s="19"/>
      <c r="I34" s="237"/>
      <c r="J34" s="148"/>
      <c r="K34" s="148"/>
      <c r="L34" s="148"/>
      <c r="M34" s="148"/>
      <c r="N34" s="148"/>
      <c r="O34" s="148"/>
      <c r="P34" s="148"/>
      <c r="Q34" s="148"/>
      <c r="R34" s="148"/>
      <c r="S34" s="148"/>
      <c r="T34" s="148"/>
      <c r="U34" s="148"/>
      <c r="V34" s="148"/>
      <c r="W34" s="148"/>
      <c r="X34" s="148"/>
      <c r="Y34" s="148"/>
      <c r="Z34" s="148"/>
      <c r="AA34" s="148"/>
      <c r="AB34" s="148"/>
      <c r="AC34" s="255">
        <f>C77</f>
        <v>5</v>
      </c>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c r="BI34" s="148"/>
      <c r="BJ34" s="148"/>
      <c r="BK34" s="148"/>
    </row>
    <row r="35" spans="1:113" ht="39.75" hidden="1" customHeight="1" x14ac:dyDescent="0.3">
      <c r="A35" s="19"/>
      <c r="D35" s="12"/>
      <c r="E35" s="55">
        <f>M35*12/M25</f>
        <v>0</v>
      </c>
      <c r="F35" s="55" t="e">
        <f>Q35*12/Q25</f>
        <v>#VALUE!</v>
      </c>
      <c r="G35" s="12"/>
      <c r="H35" s="19"/>
      <c r="I35" s="238"/>
      <c r="J35" s="511" t="s">
        <v>49</v>
      </c>
      <c r="K35" s="512"/>
      <c r="L35" s="497"/>
      <c r="M35" s="527">
        <f>M25*SUMIF($C$23:$C$25,M$9,$F$23:$F$25)/12</f>
        <v>0</v>
      </c>
      <c r="N35" s="528"/>
      <c r="O35" s="528"/>
      <c r="P35" s="529"/>
      <c r="Q35" s="540" t="s">
        <v>50</v>
      </c>
      <c r="R35" s="541"/>
      <c r="S35" s="541"/>
      <c r="T35" s="542"/>
      <c r="U35" s="160"/>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row>
    <row r="36" spans="1:113" ht="39.75" hidden="1" customHeight="1" x14ac:dyDescent="0.3">
      <c r="A36" s="19"/>
      <c r="D36" s="37" t="s">
        <v>51</v>
      </c>
      <c r="E36" s="12"/>
      <c r="F36" s="12"/>
      <c r="G36" s="12"/>
      <c r="H36" s="19"/>
      <c r="I36" s="238"/>
      <c r="J36" s="511" t="s">
        <v>52</v>
      </c>
      <c r="K36" s="512"/>
      <c r="L36" s="497"/>
      <c r="M36" s="527">
        <f>M32+M35</f>
        <v>886.69929219529126</v>
      </c>
      <c r="N36" s="528"/>
      <c r="O36" s="528"/>
      <c r="P36" s="529"/>
      <c r="Q36" s="530" t="s">
        <v>50</v>
      </c>
      <c r="R36" s="531"/>
      <c r="S36" s="531"/>
      <c r="T36" s="532"/>
      <c r="U36" s="160"/>
      <c r="V36" s="148"/>
      <c r="W36" s="148"/>
      <c r="X36" s="148"/>
      <c r="Y36" s="148"/>
      <c r="Z36" s="148"/>
      <c r="AA36" s="148"/>
      <c r="AB36" s="148"/>
      <c r="AC36" s="148"/>
      <c r="AD36" s="148"/>
      <c r="AE36" s="148"/>
      <c r="AF36" s="148"/>
      <c r="AG36" s="148"/>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c r="BI36" s="148"/>
      <c r="BJ36" s="148"/>
      <c r="BK36" s="148"/>
    </row>
    <row r="37" spans="1:113" ht="47.25" hidden="1" customHeight="1" x14ac:dyDescent="0.3">
      <c r="A37" s="19"/>
      <c r="D37" s="56">
        <v>2.2499999999999999E-2</v>
      </c>
      <c r="E37" s="57"/>
      <c r="F37" s="58" t="e">
        <f>IF(C24=C7,#REF!,IF(C24=C8,#REF!,IF(C24=C9,F6)))</f>
        <v>#REF!</v>
      </c>
      <c r="G37" s="59">
        <f>M37-M36</f>
        <v>334.17759948918706</v>
      </c>
      <c r="H37" s="19"/>
      <c r="I37" s="239"/>
      <c r="J37" s="511" t="s">
        <v>53</v>
      </c>
      <c r="K37" s="512"/>
      <c r="L37" s="497"/>
      <c r="M37" s="527">
        <f>M36+(M27*$D37/12)</f>
        <v>1220.8768916844783</v>
      </c>
      <c r="N37" s="528"/>
      <c r="O37" s="528"/>
      <c r="P37" s="529"/>
      <c r="Q37" s="530" t="s">
        <v>50</v>
      </c>
      <c r="R37" s="531"/>
      <c r="S37" s="531"/>
      <c r="T37" s="532"/>
      <c r="U37" s="160"/>
      <c r="V37" s="148"/>
      <c r="W37" s="256">
        <f>IF(E26="YES",(M37-M36)-(Q37-Q36),0)</f>
        <v>0</v>
      </c>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c r="BI37" s="148"/>
      <c r="BJ37" s="148"/>
      <c r="BK37" s="148"/>
    </row>
    <row r="38" spans="1:113" ht="39.75" hidden="1" customHeight="1" thickBot="1" x14ac:dyDescent="0.3">
      <c r="A38" s="19"/>
      <c r="C38" s="49"/>
      <c r="D38" s="49"/>
      <c r="E38" s="57"/>
      <c r="H38" s="19"/>
      <c r="I38" s="238"/>
      <c r="J38" s="511" t="s">
        <v>54</v>
      </c>
      <c r="K38" s="512"/>
      <c r="L38" s="497"/>
      <c r="M38" s="513">
        <f>(M37*12)/M29</f>
        <v>0.21544886323843734</v>
      </c>
      <c r="N38" s="514"/>
      <c r="O38" s="514"/>
      <c r="P38" s="515"/>
      <c r="Q38" s="516" t="s">
        <v>50</v>
      </c>
      <c r="R38" s="517"/>
      <c r="S38" s="517"/>
      <c r="T38" s="518"/>
      <c r="U38" s="160"/>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c r="BI38" s="148"/>
      <c r="BJ38" s="148"/>
      <c r="BK38" s="148"/>
    </row>
    <row r="39" spans="1:113" ht="42.75" thickBot="1" x14ac:dyDescent="0.35">
      <c r="A39" s="19"/>
      <c r="C39" s="49"/>
      <c r="D39" s="49"/>
      <c r="E39" s="60" t="s">
        <v>55</v>
      </c>
      <c r="F39" s="60" t="s">
        <v>56</v>
      </c>
      <c r="G39" s="61" t="str">
        <f>M1</f>
        <v>Net</v>
      </c>
      <c r="H39" s="19"/>
      <c r="I39" s="240">
        <f>IF(E40="","N/A",IF(AND(ISNUMBER(E40),DAY(E40)=1),0,IF(AND(ISNUMBER(E40),NOT(DAY(E40)=1)),1,"N/A")))</f>
        <v>0</v>
      </c>
      <c r="J39" s="519"/>
      <c r="K39" s="520"/>
      <c r="L39" s="521"/>
      <c r="M39" s="522" t="str">
        <f>IF($G$39=$C$72,"Estimated Homeowner 
Federal Tax Credit","Estimated Homeowner 
Federal Tax Credit (Gross Benefit)")</f>
        <v>Estimated Homeowner 
Federal Tax Credit (Gross Benefit)</v>
      </c>
      <c r="N39" s="523"/>
      <c r="O39" s="524"/>
      <c r="P39" s="525"/>
      <c r="Q39" s="522" t="s">
        <v>57</v>
      </c>
      <c r="R39" s="526"/>
      <c r="S39" s="526"/>
      <c r="T39" s="526"/>
      <c r="U39" s="161"/>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c r="BI39" s="148"/>
      <c r="BJ39" s="148"/>
      <c r="BK39" s="148"/>
    </row>
    <row r="40" spans="1:113" ht="31.5" x14ac:dyDescent="0.5">
      <c r="A40" s="19"/>
      <c r="C40" s="62">
        <f>F72</f>
        <v>2014</v>
      </c>
      <c r="D40" s="63">
        <f>IF(SUM(E40)=0,C40,SUMIF(G222:G253,G40,F222:F253))</f>
        <v>2014</v>
      </c>
      <c r="E40" s="64">
        <f>IF(SUM(M26)=0,"",M26)</f>
        <v>41852</v>
      </c>
      <c r="F40" s="65" t="str">
        <f>IF(SUM(E40)=0,"YES","NO")</f>
        <v>NO</v>
      </c>
      <c r="G40" s="66">
        <v>1</v>
      </c>
      <c r="H40" s="19"/>
      <c r="I40" s="241">
        <f>(M40-(IF($M$33&lt;$D$118,-CUMIPMT($A$60/12,$H$60,$M$25,AB40,AC40,0)*$M$33,MIN($C$118,-CUMIPMT($A$60/12,$H$60,$M$25,AB40,AC40,0)*$M$33)))+(Q40-(M40*(1-$M$30))))</f>
        <v>-1.1368683772161603E-13</v>
      </c>
      <c r="J40" s="505" t="str">
        <f>IF(F$40="YES",CONCATENATE("Year ",G40," MCC Tax Benefit"),CONCATENATE("Est ",D40," MCC Tax Benefit"))</f>
        <v>Est 2014 MCC Tax Benefit</v>
      </c>
      <c r="K40" s="506"/>
      <c r="L40" s="490"/>
      <c r="M40" s="491">
        <f>SUMIF($G$222:$G$254,$G40,N$222:N$254)</f>
        <v>818.14392095059804</v>
      </c>
      <c r="N40" s="492"/>
      <c r="O40" s="493"/>
      <c r="P40" s="494"/>
      <c r="Q40" s="507">
        <f>IF(SUM(M25)=0,"",SUMIF($G$222:$G$254,$G40,O$222:O$254))</f>
        <v>613.60794071294856</v>
      </c>
      <c r="R40" s="508"/>
      <c r="S40" s="509"/>
      <c r="T40" s="509"/>
      <c r="U40" s="162"/>
      <c r="V40" s="257"/>
      <c r="W40" s="256">
        <f>IF($M$33&lt;=$D$118,M40--CUMIPMT($B$47/12,$G$48,$B$46,AB40,AC40,0)*$M$33,M40-MIN($C$118,-CUMIPMT($B$47/12,$G$48,$B$46,AB40,AC40,0)*$M$33))</f>
        <v>-1.1368683772161603E-13</v>
      </c>
      <c r="X40" s="148"/>
      <c r="Y40" s="148"/>
      <c r="Z40" s="258">
        <f>IF(SUMIF($F$77:$F$108,$D40,$E$77:$E$108)=0,12,SUMIF($F$77:$F$108,$D40,$E$77:$E$108))</f>
        <v>5</v>
      </c>
      <c r="AA40" s="258">
        <f>Z40+SUM(Z$39:Z39)</f>
        <v>5</v>
      </c>
      <c r="AB40" s="259">
        <f>IF(G40=1,1,G40*12-(12+(12-$AC$34-1)))</f>
        <v>1</v>
      </c>
      <c r="AC40" s="259">
        <f>IF(G40=1,MIN($AC$34,AB40+11),AB40+11)</f>
        <v>5</v>
      </c>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48"/>
    </row>
    <row r="41" spans="1:113" ht="31.5" x14ac:dyDescent="0.5">
      <c r="A41" s="19"/>
      <c r="D41" s="63">
        <f>D$40+G41-(G$40)</f>
        <v>2015</v>
      </c>
      <c r="E41" s="63"/>
      <c r="F41" s="63"/>
      <c r="G41" s="66">
        <v>2</v>
      </c>
      <c r="H41" s="19"/>
      <c r="I41" s="241">
        <f>(M41-(IF($M$33&lt;$D$118,-CUMIPMT($A$60/12,$H$60,$M$25,AB41,AC41,0)*$M$33,MIN($C$118,-CUMIPMT($A$60/12,$H$60,$M$25,AB41,AC41,0)*$M$33)))+(Q41-(M41*(1-$M$30))))</f>
        <v>0</v>
      </c>
      <c r="J41" s="495" t="str">
        <f>IF(F$40="YES",CONCATENATE("Year ",G41," MCC Tax Benefit"),CONCATENATE("Est ",D41," MCC Tax Benefit"))</f>
        <v>Est 2015 MCC Tax Benefit</v>
      </c>
      <c r="K41" s="496"/>
      <c r="L41" s="497"/>
      <c r="M41" s="502">
        <f>SUMIF($G$222:$G$254,$G41,N$222:N$254)</f>
        <v>1940.9780746265592</v>
      </c>
      <c r="N41" s="503"/>
      <c r="O41" s="504"/>
      <c r="P41" s="510"/>
      <c r="Q41" s="502">
        <f>IF(SUM(M25)=0,"",SUMIF($G$222:$G$254,$G41,O$222:O$254))</f>
        <v>1455.7335559699195</v>
      </c>
      <c r="R41" s="503"/>
      <c r="S41" s="504"/>
      <c r="T41" s="504"/>
      <c r="U41" s="163"/>
      <c r="V41" s="260"/>
      <c r="W41" s="256">
        <f>IF($M$33&lt;=$D$118,M41--CUMIPMT($B$47/12,$G$48,$B$46,AB41,AC41,0)*$M$33,M41-MIN($C$118,-CUMIPMT($B$47/12,$G$48,$B$46,AB41,AC41,0)*$M$33))</f>
        <v>0</v>
      </c>
      <c r="X41" s="261"/>
      <c r="Y41" s="148"/>
      <c r="Z41" s="258">
        <f>IF(SUMIF($F$77:$F$108,$D41,$E$77:$E$108)=0,12,SUMIF($F$77:$F$108,CONCATENATE($D41),$E$77:$E$108))</f>
        <v>12</v>
      </c>
      <c r="AA41" s="258">
        <f>Z41+SUM(Z$39:Z40)</f>
        <v>17</v>
      </c>
      <c r="AB41" s="259">
        <f>G41*12-(12+(12-$AC$34-1))</f>
        <v>6</v>
      </c>
      <c r="AC41" s="259">
        <f t="shared" ref="AC41:AC44" si="2">IF(G41=1,MIN($AC$34,AB41+11),AB41+11)</f>
        <v>17</v>
      </c>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48"/>
    </row>
    <row r="42" spans="1:113" ht="32.25" thickBot="1" x14ac:dyDescent="0.55000000000000004">
      <c r="A42" s="19"/>
      <c r="B42" s="69">
        <f>RATE(G48,C42,-D48)*12</f>
        <v>3.5074100617524785E-2</v>
      </c>
      <c r="C42" s="57">
        <f>F48/360</f>
        <v>786.55224692424622</v>
      </c>
      <c r="D42" s="63">
        <f>D$40+G42-(G$40)</f>
        <v>2016</v>
      </c>
      <c r="E42" s="63"/>
      <c r="F42" s="63"/>
      <c r="G42" s="66">
        <v>3</v>
      </c>
      <c r="H42" s="19"/>
      <c r="I42" s="241">
        <f>(M42-(IF($M$33&lt;$D$118,-CUMIPMT($A$60/12,$H$60,$M$25,AB42,AC42,0)*$M$33,MIN($C$118,-CUMIPMT($A$60/12,$H$60,$M$25,AB42,AC42,0)*$M$33)))+(Q42-(M42*(1-$M$30))))</f>
        <v>0</v>
      </c>
      <c r="J42" s="495" t="str">
        <f>IF(F$40="YES",CONCATENATE("Year ",G42," MCC Tax Benefit"),CONCATENATE("Est ",D42," MCC Tax Benefit"))</f>
        <v>Est 2016 MCC Tax Benefit</v>
      </c>
      <c r="K42" s="496"/>
      <c r="L42" s="497"/>
      <c r="M42" s="498">
        <f>SUMIF($G$222:$G$254,$G42,N$222:N$254)</f>
        <v>1907.9418367413241</v>
      </c>
      <c r="N42" s="499"/>
      <c r="O42" s="500"/>
      <c r="P42" s="501"/>
      <c r="Q42" s="502">
        <f>IF(SUM(M25)=0,"",SUMIF($G$222:$G$254,$G42,O$222:O$254))</f>
        <v>1430.9563775559932</v>
      </c>
      <c r="R42" s="503"/>
      <c r="S42" s="504"/>
      <c r="T42" s="504"/>
      <c r="U42" s="420"/>
      <c r="V42" s="262"/>
      <c r="W42" s="256">
        <f>IF($M$33&lt;=$D$118,M42--CUMIPMT($B$47/12,$G$48,$B$46,AB42,AC42,0)*$M$33,M42-MIN($C$118,-CUMIPMT($B$47/12,$G$48,$B$46,AB42,AC42,0)*$M$33))</f>
        <v>0</v>
      </c>
      <c r="X42" s="148"/>
      <c r="Y42" s="148"/>
      <c r="Z42" s="258">
        <f>IF(SUMIF($F$77:$F$108,$D42,$E$77:$E$108)=0,12,SUMIF($F$77:$F$108,$D42,$E$77:$E$108))</f>
        <v>12</v>
      </c>
      <c r="AA42" s="258">
        <f>Z42+SUM(Z$39:Z41)</f>
        <v>29</v>
      </c>
      <c r="AB42" s="259">
        <f>G42*12-(12+(12-$AC$34-1))</f>
        <v>18</v>
      </c>
      <c r="AC42" s="259">
        <f t="shared" si="2"/>
        <v>29</v>
      </c>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48"/>
    </row>
    <row r="43" spans="1:113" ht="31.5" hidden="1" customHeight="1" x14ac:dyDescent="0.5">
      <c r="A43" s="19"/>
      <c r="B43" s="69"/>
      <c r="C43" s="57"/>
      <c r="D43" s="63">
        <f t="shared" ref="D43:D44" si="3">D$40+G43-(G$40)</f>
        <v>2017</v>
      </c>
      <c r="E43" s="63"/>
      <c r="F43" s="63"/>
      <c r="G43" s="66">
        <f>G42+1</f>
        <v>4</v>
      </c>
      <c r="H43" s="19"/>
      <c r="I43" s="241">
        <f>(M43-(IF($M$33&lt;$D$118,-CUMIPMT($A$60/12,$H$60,$M$25,AB43,AC43,0)*$M$33,MIN($C$118,-CUMIPMT($A$60/12,$H$60,$M$25,AB43,AC43,0)*$M$33)))+(Q43-(M43*(1-$M$30))))</f>
        <v>0</v>
      </c>
      <c r="J43" s="165" t="str">
        <f>IF(F$40="YES",CONCATENATE("Year ",G43," MCC Tax Benefit"),CONCATENATE("Est ",D43," MCC Tax Benefit"))</f>
        <v>Est 2017 MCC Tax Benefit</v>
      </c>
      <c r="K43" s="166"/>
      <c r="L43" s="166"/>
      <c r="M43" s="498">
        <f>SUMIF($G$222:$G$254,$G43,N$222:N$254)</f>
        <v>1873.3879198676423</v>
      </c>
      <c r="N43" s="499"/>
      <c r="O43" s="500"/>
      <c r="P43" s="501"/>
      <c r="Q43" s="502">
        <f>IF(SUM(M25)=0,"",SUMIF($G$222:$G$254,$G43,O$222:O$254))</f>
        <v>1405.0409399007317</v>
      </c>
      <c r="R43" s="503"/>
      <c r="S43" s="504"/>
      <c r="T43" s="504"/>
      <c r="U43" s="421"/>
      <c r="V43" s="262"/>
      <c r="W43" s="256">
        <f>IF($M$33&lt;=$D$118,M43--CUMIPMT($B$47/12,$G$48,$B$46,AB43,AC43,0)*$M$33,M43-MIN($C$118,-CUMIPMT($B$47/12,$G$48,$B$46,AB43,AC43,0)*$M$33))</f>
        <v>0</v>
      </c>
      <c r="X43" s="148"/>
      <c r="Y43" s="148"/>
      <c r="Z43" s="258">
        <f>IF(SUMIF($F$77:$F$108,$D43,$E$77:$E$108)=0,12,SUMIF($F$77:$F$108,$D43,$E$77:$E$108))</f>
        <v>12</v>
      </c>
      <c r="AA43" s="258">
        <f>Z43+SUM(Z$39:Z42)</f>
        <v>41</v>
      </c>
      <c r="AB43" s="259">
        <f t="shared" ref="AB43:AB44" si="4">G43*12-(12+(12-$AC$34-1))</f>
        <v>30</v>
      </c>
      <c r="AC43" s="259">
        <f t="shared" si="2"/>
        <v>41</v>
      </c>
      <c r="AD43" s="148"/>
      <c r="AE43" s="148"/>
      <c r="AF43" s="148"/>
      <c r="AG43" s="148"/>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c r="BI43" s="148"/>
      <c r="BJ43" s="148"/>
      <c r="BK43" s="148"/>
    </row>
    <row r="44" spans="1:113" ht="32.25" hidden="1" customHeight="1" thickBot="1" x14ac:dyDescent="0.55000000000000004">
      <c r="A44" s="19"/>
      <c r="B44" s="69"/>
      <c r="C44" s="57"/>
      <c r="D44" s="63">
        <f t="shared" si="3"/>
        <v>2018</v>
      </c>
      <c r="E44" s="63"/>
      <c r="F44" s="63"/>
      <c r="G44" s="66">
        <f>G43+1</f>
        <v>5</v>
      </c>
      <c r="H44" s="19"/>
      <c r="I44" s="241">
        <f>(M44-(IF($M$33&lt;$D$118,-CUMIPMT($A$60/12,$H$60,$M$25,AB44,AC44,0)*$M$33,MIN($C$118,-CUMIPMT($A$60/12,$H$60,$M$25,AB44,AC44,0)*$M$33)))+(Q44-(M44*(1-$M$30))))</f>
        <v>0</v>
      </c>
      <c r="J44" s="165" t="str">
        <f>IF(F$40="YES",CONCATENATE("Year ",G44," MCC Tax Benefit"),CONCATENATE("Est ",D44," MCC Tax Benefit"))</f>
        <v>Est 2018 MCC Tax Benefit</v>
      </c>
      <c r="K44" s="166"/>
      <c r="L44" s="166"/>
      <c r="M44" s="498">
        <f>SUMIF($G$222:$G$254,$G44,N$222:N$254)</f>
        <v>1837.2466020983161</v>
      </c>
      <c r="N44" s="499"/>
      <c r="O44" s="500"/>
      <c r="P44" s="501"/>
      <c r="Q44" s="498">
        <f>IF(SUM(M25)=0,"",SUMIF($G$222:$G$254,$G44,O$222:O$254))</f>
        <v>1377.9349515737372</v>
      </c>
      <c r="R44" s="499"/>
      <c r="S44" s="500"/>
      <c r="T44" s="500"/>
      <c r="U44" s="420"/>
      <c r="V44" s="262"/>
      <c r="W44" s="256">
        <f>IF($M$33&lt;=$D$118,M44--CUMIPMT($B$47/12,$G$48,$B$46,AB44,AC44,0)*$M$33,M44-MIN($C$118,-CUMIPMT($B$47/12,$G$48,$B$46,AB44,AC44,0)*$M$33))</f>
        <v>0</v>
      </c>
      <c r="X44" s="148"/>
      <c r="Y44" s="148"/>
      <c r="Z44" s="258">
        <f>IF(SUMIF($F$77:$F$108,$D44,$E$77:$E$108)=0,12,SUMIF($F$77:$F$108,$D44,$E$77:$E$108))</f>
        <v>12</v>
      </c>
      <c r="AA44" s="258">
        <f>Z44+SUM(Z$39:Z43)</f>
        <v>53</v>
      </c>
      <c r="AB44" s="259">
        <f t="shared" si="4"/>
        <v>42</v>
      </c>
      <c r="AC44" s="259">
        <f t="shared" si="2"/>
        <v>53</v>
      </c>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48"/>
    </row>
    <row r="45" spans="1:113" ht="38.1" hidden="1" customHeight="1" thickBot="1" x14ac:dyDescent="0.55000000000000004">
      <c r="A45" s="19"/>
      <c r="D45" s="67">
        <f>G267</f>
        <v>360</v>
      </c>
      <c r="E45" s="63">
        <f>YEAR(E40)</f>
        <v>2014</v>
      </c>
      <c r="F45" s="63">
        <f>E45+G45</f>
        <v>2044</v>
      </c>
      <c r="G45" s="70">
        <f>G47</f>
        <v>30</v>
      </c>
      <c r="H45" s="19"/>
      <c r="I45" s="241">
        <f>W45+X45</f>
        <v>0</v>
      </c>
      <c r="J45" s="424" t="str">
        <f>IF(F40="YES",CONCATENATE(G45,"-Year (",D45," months) Expected Aggregate Savings to Family"),CONCATENATE(E45,"-",F45," (",D45," months; ",G45+1,"-Tax Yrs) Expected Aggregate Savings"))</f>
        <v>2014-2044 (360 months; 31-Tax Yrs) Expected Aggregate Savings</v>
      </c>
      <c r="K45" s="425"/>
      <c r="L45" s="425"/>
      <c r="M45" s="477">
        <f>IF($F$40="YES",SUMIF($G$221:$G$254,CONCATENATE("&lt;=",$G45),N$221:N$254),SUMIF($F$221:$F$254,CONCATENATE("&lt;=",$F45),N$221:N$254))</f>
        <v>36052.936297576212</v>
      </c>
      <c r="N45" s="478"/>
      <c r="O45" s="479"/>
      <c r="P45" s="480"/>
      <c r="Q45" s="477">
        <f>IF($F$40="YES",SUMIF($G$221:$G$254,CONCATENATE("&lt;=",$G45),O$221:O$254),SUMIF($F$221:$F$254,CONCATENATE("&lt;=",$F45),O$221:O$254))</f>
        <v>27039.702223182161</v>
      </c>
      <c r="R45" s="478"/>
      <c r="S45" s="479"/>
      <c r="T45" s="479"/>
      <c r="U45" s="426"/>
      <c r="V45" s="262"/>
      <c r="W45" s="256">
        <f>(M45-Q109)+(Q45-S109)</f>
        <v>0</v>
      </c>
      <c r="X45" s="256"/>
      <c r="Y45" s="148"/>
      <c r="Z45" s="256"/>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c r="BK45" s="148"/>
    </row>
    <row r="46" spans="1:113" ht="38.1" hidden="1" customHeight="1" thickBot="1" x14ac:dyDescent="0.55000000000000004">
      <c r="A46" s="71">
        <v>175000</v>
      </c>
      <c r="B46" s="72">
        <f>IF(SUM(M25)=0,A46,M25)</f>
        <v>175000</v>
      </c>
      <c r="D46" s="12"/>
      <c r="E46" s="73">
        <f>E45</f>
        <v>2014</v>
      </c>
      <c r="F46" s="73">
        <f>F45</f>
        <v>2044</v>
      </c>
      <c r="G46" s="74">
        <f>G45</f>
        <v>30</v>
      </c>
      <c r="H46" s="19"/>
      <c r="I46" s="241">
        <f>W46+X46</f>
        <v>5.6024873629212379E-10</v>
      </c>
      <c r="J46" s="422" t="str">
        <f>IF(F40="YES",CONCATENATE("Effective Interest Rate on Net Benefit over ",G45,"-year period"),CONCATENATE("Effective Interest Rate on Net Benefit over ",D45,"-month period"))</f>
        <v>Effective Interest Rate on Net Benefit over 360-month period</v>
      </c>
      <c r="K46" s="423"/>
      <c r="L46" s="423"/>
      <c r="M46" s="481">
        <f>RATE($G48,(M267+N265)/($D45),-M25)*12</f>
        <v>3.5074100617524653E-2</v>
      </c>
      <c r="N46" s="482"/>
      <c r="O46" s="483"/>
      <c r="P46" s="484"/>
      <c r="Q46" s="485">
        <f>RATE($G48,(M267+O265)/($D45),-M25)*12</f>
        <v>3.7614429553202225E-2</v>
      </c>
      <c r="R46" s="486"/>
      <c r="S46" s="487"/>
      <c r="T46" s="487"/>
      <c r="U46" s="162"/>
      <c r="V46" s="263"/>
      <c r="W46" s="256">
        <f>(N264-((F31*D45)--PMT(M46/12,G48,M25)*D45))</f>
        <v>5.6024873629212379E-10</v>
      </c>
      <c r="X46" s="256"/>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c r="BK46" s="148"/>
    </row>
    <row r="47" spans="1:113" ht="38.1" customHeight="1" x14ac:dyDescent="0.5">
      <c r="A47" s="75"/>
      <c r="B47" s="76">
        <f>M31</f>
        <v>4.4999999999999998E-2</v>
      </c>
      <c r="C47" s="57">
        <f>-CUMIPMT(B47/12,G48,B46,1,C48,0)</f>
        <v>144211.74519030491</v>
      </c>
      <c r="D47" s="77" t="s">
        <v>58</v>
      </c>
      <c r="E47" s="77" t="s">
        <v>59</v>
      </c>
      <c r="F47" s="77" t="s">
        <v>60</v>
      </c>
      <c r="G47" s="78">
        <f>N1</f>
        <v>30</v>
      </c>
      <c r="H47" s="75"/>
      <c r="I47" s="241">
        <f>(Q47-(M47*(1-H63)))+W47+X47</f>
        <v>-1.0913936421275139E-10</v>
      </c>
      <c r="J47" s="488" t="str">
        <f>IF(G47=G48/12,"Aggregate MCC Savings to Homeowner over Life of Loan",IF(F40="YES",CONCATENATE(G45,"-Year (",D45," months) Expected Aggregate Savings to Family"),CONCATENATE(E45,"-",F45," (",D45," months; ",G45+1,"-Tax Yrs) Expected Aggregate Savings")))</f>
        <v>Aggregate MCC Savings to Homeowner over Life of Loan</v>
      </c>
      <c r="K47" s="489"/>
      <c r="L47" s="490"/>
      <c r="M47" s="491">
        <f>IF($F$40="YES",SUMIF($G$221:$G$254,CONCATENATE("&lt;=",$G45),N$221:N$254),SUMIF($F$221:$F$254,CONCATENATE("&lt;=",$F45),N$221:N$254))</f>
        <v>36052.936297576212</v>
      </c>
      <c r="N47" s="492"/>
      <c r="O47" s="493"/>
      <c r="P47" s="494"/>
      <c r="Q47" s="491">
        <f>IF(SUM(M25)=0,"",IF($F$40="YES",SUMIF($G$221:$G$254,CONCATENATE("&lt;=",$G45),O$221:O$254),SUMIF($F$221:$F$254,CONCATENATE("&lt;=",$F45),O$221:O$254)))</f>
        <v>27039.702223182161</v>
      </c>
      <c r="R47" s="492"/>
      <c r="S47" s="493"/>
      <c r="T47" s="493"/>
      <c r="U47" s="163"/>
      <c r="V47" s="148"/>
      <c r="W47" s="264">
        <f>M48-B48+(Q48-AA48)</f>
        <v>0</v>
      </c>
      <c r="X47" s="256">
        <f>(M47-(C47-E48))+(Q47-(C47-AD48))</f>
        <v>-1.0913936421275139E-10</v>
      </c>
      <c r="Y47" s="265"/>
      <c r="Z47" s="148"/>
      <c r="AA47" s="148"/>
      <c r="AB47" s="148"/>
      <c r="AC47" s="266" t="s">
        <v>58</v>
      </c>
      <c r="AD47" s="266" t="s">
        <v>59</v>
      </c>
      <c r="AE47" s="266" t="s">
        <v>60</v>
      </c>
      <c r="AF47" s="265"/>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row>
    <row r="48" spans="1:113" ht="38.1" customHeight="1" thickBot="1" x14ac:dyDescent="0.55000000000000004">
      <c r="A48" s="19"/>
      <c r="B48" s="55">
        <f>RATE(G48,F48/C48,-$M$25)*12</f>
        <v>3.5074100617524653E-2</v>
      </c>
      <c r="C48" s="67">
        <f>D45</f>
        <v>360</v>
      </c>
      <c r="D48" s="79">
        <f>$M$267</f>
        <v>174999.99999999997</v>
      </c>
      <c r="E48" s="79">
        <f>$N$265</f>
        <v>108158.80889272864</v>
      </c>
      <c r="F48" s="79">
        <f>D48+E48</f>
        <v>283158.80889272864</v>
      </c>
      <c r="G48" s="80">
        <f>O1</f>
        <v>360</v>
      </c>
      <c r="H48" s="47" t="s">
        <v>61</v>
      </c>
      <c r="I48" s="241">
        <f>W48+X48+V48</f>
        <v>-7.3559931479394436E-9</v>
      </c>
      <c r="J48" s="467" t="str">
        <f>IF(G47=G48/12,"Effective Interest Rate with MCC Benefit over Life of Loan",IF(F40="YES",CONCATENATE("Effective Interest Rate with MCC Benefit over ",G45,"-year period"),CONCATENATE("Effective Interest Rate with MCC Benefit over ",C48,"-month period")))</f>
        <v>Effective Interest Rate with MCC Benefit over Life of Loan</v>
      </c>
      <c r="K48" s="468"/>
      <c r="L48" s="469"/>
      <c r="M48" s="470">
        <f>IF(SUM(M25)=0,"",RATE($G48,(M267+N265)/($D45),-M25)*12)</f>
        <v>3.5074100617524653E-2</v>
      </c>
      <c r="N48" s="471"/>
      <c r="O48" s="472"/>
      <c r="P48" s="473"/>
      <c r="Q48" s="470">
        <f>IF(OR(SUM(M31)=0,SUM(M25)=0),"",RATE($G48,(M267+O265)/($D45),-M25)*12)</f>
        <v>3.7614429553202225E-2</v>
      </c>
      <c r="R48" s="471"/>
      <c r="S48" s="472"/>
      <c r="T48" s="472"/>
      <c r="U48" s="164"/>
      <c r="V48" s="241">
        <f>IF(M1=C72,-CUMIPMT(M48/12,O1,M25,1,O1,0)-(M109-O109),-CUMIPMT(Q48/12,O1,M25,1,O1,0)-(M109-S109))</f>
        <v>-7.3341652750968933E-9</v>
      </c>
      <c r="W48" s="256">
        <f>(N255-((F31*G48)--PMT(M48/12,G48,M25)*G48))+AD50</f>
        <v>-2.1827872842550278E-11</v>
      </c>
      <c r="X48" s="256"/>
      <c r="Y48" s="148"/>
      <c r="Z48" s="148"/>
      <c r="AA48" s="267">
        <f>RATE(G48,AE48/AB48,-M25)*12</f>
        <v>3.7614429553202225E-2</v>
      </c>
      <c r="AB48" s="258">
        <f>D45</f>
        <v>360</v>
      </c>
      <c r="AC48" s="268">
        <f>$M$267</f>
        <v>174999.99999999997</v>
      </c>
      <c r="AD48" s="268">
        <f>$O$265</f>
        <v>117172.04296712269</v>
      </c>
      <c r="AE48" s="268">
        <f>AC48+AD48</f>
        <v>292172.04296712263</v>
      </c>
      <c r="AF48" s="269">
        <f>G48</f>
        <v>360</v>
      </c>
      <c r="AG48" s="270"/>
      <c r="AH48" s="271"/>
      <c r="AI48" s="271"/>
      <c r="AJ48" s="237"/>
      <c r="AK48" s="237"/>
      <c r="AL48" s="237"/>
      <c r="AM48" s="237"/>
      <c r="AN48" s="237" t="s">
        <v>62</v>
      </c>
      <c r="AO48" s="237"/>
      <c r="AP48" s="237"/>
      <c r="AQ48" s="237"/>
      <c r="AR48" s="237"/>
      <c r="AS48" s="237"/>
      <c r="AT48" s="237"/>
      <c r="AU48" s="237"/>
      <c r="AV48" s="237"/>
      <c r="AW48" s="237"/>
      <c r="AX48" s="237" t="s">
        <v>63</v>
      </c>
      <c r="AY48" s="237"/>
      <c r="AZ48" s="237"/>
      <c r="BA48" s="237"/>
      <c r="BB48" s="237"/>
      <c r="BC48" s="237"/>
      <c r="BD48" s="237"/>
      <c r="BE48" s="237"/>
      <c r="BF48" s="237"/>
      <c r="BG48" s="237"/>
      <c r="BH48" s="237"/>
      <c r="BI48" s="237"/>
      <c r="BJ48" s="237"/>
      <c r="BK48" s="237"/>
      <c r="BL48" s="14"/>
      <c r="BM48" s="14"/>
      <c r="BN48" s="14"/>
      <c r="BO48" s="14"/>
      <c r="BP48" s="14"/>
      <c r="BQ48" s="14"/>
      <c r="BR48" s="14"/>
      <c r="BS48" s="14"/>
      <c r="BT48" s="14"/>
      <c r="BU48" s="14"/>
      <c r="BV48" s="14"/>
      <c r="BW48" s="14"/>
      <c r="BX48" s="14"/>
      <c r="BY48" s="14"/>
      <c r="BZ48" s="14"/>
      <c r="CA48" s="14"/>
      <c r="CB48" s="14"/>
      <c r="CC48" s="14"/>
      <c r="CD48" s="14"/>
      <c r="CE48" s="14"/>
      <c r="CF48" s="14"/>
      <c r="CG48" s="14"/>
      <c r="CH48" s="14"/>
      <c r="CI48" s="14"/>
      <c r="CJ48" s="14"/>
      <c r="CK48" s="14"/>
      <c r="CL48" s="14"/>
      <c r="CM48" s="14"/>
      <c r="CN48" s="14"/>
      <c r="CO48" s="14"/>
      <c r="CP48" s="14"/>
      <c r="CQ48" s="14"/>
      <c r="CR48" s="14"/>
      <c r="CS48" s="14"/>
      <c r="CT48" s="14"/>
      <c r="CU48" s="14"/>
      <c r="CV48" s="14"/>
      <c r="CW48" s="14"/>
      <c r="CX48" s="14"/>
      <c r="CY48" s="14"/>
      <c r="CZ48" s="14"/>
      <c r="DA48" s="14"/>
      <c r="DB48" s="14"/>
      <c r="DC48" s="14"/>
      <c r="DD48" s="14"/>
      <c r="DE48" s="14"/>
      <c r="DF48" s="14"/>
      <c r="DG48" s="14"/>
      <c r="DH48" s="14"/>
      <c r="DI48" s="14"/>
    </row>
    <row r="49" spans="1:113" ht="0.95" customHeight="1" x14ac:dyDescent="0.25">
      <c r="A49" s="19"/>
      <c r="D49" s="72"/>
      <c r="E49" s="72"/>
      <c r="F49" s="72"/>
      <c r="G49" s="81"/>
      <c r="H49" s="19"/>
      <c r="I49" s="242"/>
      <c r="J49" s="167"/>
      <c r="K49" s="167"/>
      <c r="L49" s="167"/>
      <c r="M49" s="168"/>
      <c r="N49" s="168"/>
      <c r="O49" s="168"/>
      <c r="P49" s="168"/>
      <c r="Q49" s="168"/>
      <c r="R49" s="168"/>
      <c r="S49" s="168"/>
      <c r="T49" s="168"/>
      <c r="U49" s="168"/>
      <c r="V49" s="148"/>
      <c r="W49" s="148"/>
      <c r="X49" s="148"/>
      <c r="Y49" s="148"/>
      <c r="Z49" s="148"/>
      <c r="AA49" s="148"/>
      <c r="AB49" s="148"/>
      <c r="AC49" s="148"/>
      <c r="AD49" s="148"/>
      <c r="AE49" s="148"/>
      <c r="AF49" s="148"/>
      <c r="AG49" s="148"/>
      <c r="AH49" s="237"/>
      <c r="AI49" s="237"/>
      <c r="AJ49" s="237"/>
      <c r="AK49" s="237"/>
      <c r="AL49" s="237"/>
      <c r="AM49" s="237"/>
      <c r="AN49" s="237"/>
      <c r="AO49" s="237"/>
      <c r="AP49" s="237"/>
      <c r="AQ49" s="237"/>
      <c r="AR49" s="237"/>
      <c r="AS49" s="237"/>
      <c r="AT49" s="237"/>
      <c r="AU49" s="237"/>
      <c r="AV49" s="237"/>
      <c r="AW49" s="237"/>
      <c r="AX49" s="237"/>
      <c r="AY49" s="237"/>
      <c r="AZ49" s="237"/>
      <c r="BA49" s="237"/>
      <c r="BB49" s="237"/>
      <c r="BC49" s="237"/>
      <c r="BD49" s="237"/>
      <c r="BE49" s="237"/>
      <c r="BF49" s="237"/>
      <c r="BG49" s="237"/>
      <c r="BH49" s="237"/>
      <c r="BI49" s="237"/>
      <c r="BJ49" s="237"/>
      <c r="BK49" s="237"/>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row>
    <row r="50" spans="1:113" ht="15.95" customHeight="1" x14ac:dyDescent="0.25">
      <c r="A50" s="19"/>
      <c r="E50" s="72"/>
      <c r="F50" s="72"/>
      <c r="G50" s="81"/>
      <c r="H50" s="19"/>
      <c r="I50" s="243">
        <f>W47</f>
        <v>0</v>
      </c>
      <c r="J50" s="474" t="str">
        <f>CONCATENATE(AI50,"  ",AI51,"  ",AI52,"  ",AI53,"  ",AI55)</f>
        <v>NOTE: The Homeowner will be able to claim the Mortgage Credit Certificate (MCC) for the life of the mortgage.  The calculations shown are for illustrative purposes only.  All calculations are estimates based on the expected amortization schedule and the actual benefits could change dependent on several factors, including the duration of the mortgage and principal prepayments.   While the MCC will always provide a positive federal tax result (i.e., the homeowner will have an overall lower annual tax liability), depending on the borrower's individual tax situation, the annual MCC could reduce the itemized deductions for interest paid equal to the MCC amount.  The estimated "Gross MCC Tax Benefit" amount is the actual expected Federal Tax Credit that can be claimed on the homeowner's tax return;  tax law limits this amount to $2,000 annually.  The estimated "Net MCC Tax Benefit" shows the Federal Tax Credit less the impact of potentially losing some mortgage interest deductions.  Please consult with your tax advisor for additional explanations.  Below are some specific assumptions used in the above calculations.</v>
      </c>
      <c r="K50" s="474"/>
      <c r="L50" s="474"/>
      <c r="M50" s="474"/>
      <c r="N50" s="474"/>
      <c r="O50" s="474"/>
      <c r="P50" s="474"/>
      <c r="Q50" s="474"/>
      <c r="R50" s="474"/>
      <c r="S50" s="474"/>
      <c r="T50" s="474"/>
      <c r="U50" s="169"/>
      <c r="V50" s="272" t="str">
        <f>M1</f>
        <v>Net</v>
      </c>
      <c r="W50" s="148"/>
      <c r="X50" s="148"/>
      <c r="Y50" s="148"/>
      <c r="Z50" s="270">
        <f>N256</f>
        <v>108158.80889272864</v>
      </c>
      <c r="AA50" s="270">
        <f>M25</f>
        <v>175000</v>
      </c>
      <c r="AB50" s="270">
        <f>Z50+AA50</f>
        <v>283158.80889272864</v>
      </c>
      <c r="AC50" s="273">
        <f>-PMT(M48/12,G48,AA50)</f>
        <v>786.55224692424792</v>
      </c>
      <c r="AD50" s="273">
        <f>Z50--CUMIPMT(M48/12,$G48,AA50,1,G48,0)</f>
        <v>-5.8207660913467407E-10</v>
      </c>
      <c r="AE50" s="148"/>
      <c r="AF50" s="148"/>
      <c r="AG50" s="148"/>
      <c r="AH50" s="237"/>
      <c r="AI50" s="274" t="s">
        <v>64</v>
      </c>
      <c r="AJ50" s="237"/>
      <c r="AK50" s="237"/>
      <c r="AL50" s="237"/>
      <c r="AM50" s="275">
        <f>LEN(AN50)</f>
        <v>109</v>
      </c>
      <c r="AN50" s="247" t="s">
        <v>64</v>
      </c>
      <c r="AO50" s="276"/>
      <c r="AP50" s="237"/>
      <c r="AQ50" s="237"/>
      <c r="AR50" s="237"/>
      <c r="AS50" s="237"/>
      <c r="AT50" s="237"/>
      <c r="AU50" s="237"/>
      <c r="AV50" s="237"/>
      <c r="AW50" s="275">
        <f>LEN(AX50)</f>
        <v>0</v>
      </c>
      <c r="AX50" s="237"/>
      <c r="AY50" s="237"/>
      <c r="AZ50" s="237"/>
      <c r="BA50" s="237"/>
      <c r="BB50" s="237"/>
      <c r="BC50" s="237"/>
      <c r="BD50" s="237"/>
      <c r="BE50" s="237"/>
      <c r="BF50" s="237"/>
      <c r="BG50" s="237"/>
      <c r="BH50" s="237"/>
      <c r="BI50" s="237"/>
      <c r="BJ50" s="237"/>
      <c r="BK50" s="237"/>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row>
    <row r="51" spans="1:113" ht="14.1" customHeight="1" x14ac:dyDescent="0.25">
      <c r="A51" s="19"/>
      <c r="E51" s="72"/>
      <c r="F51" s="72"/>
      <c r="G51" s="81"/>
      <c r="H51" s="19"/>
      <c r="I51" s="244"/>
      <c r="J51" s="474"/>
      <c r="K51" s="474"/>
      <c r="L51" s="474"/>
      <c r="M51" s="474"/>
      <c r="N51" s="474"/>
      <c r="O51" s="474"/>
      <c r="P51" s="474"/>
      <c r="Q51" s="474"/>
      <c r="R51" s="474"/>
      <c r="S51" s="474"/>
      <c r="T51" s="474"/>
      <c r="U51" s="169"/>
      <c r="V51" s="148"/>
      <c r="W51" s="148"/>
      <c r="X51" s="148"/>
      <c r="Y51" s="148"/>
      <c r="Z51" s="148"/>
      <c r="AA51" s="148"/>
      <c r="AB51" s="148"/>
      <c r="AC51" s="148"/>
      <c r="AD51" s="148"/>
      <c r="AE51" s="148"/>
      <c r="AF51" s="148"/>
      <c r="AG51" s="148"/>
      <c r="AH51" s="237"/>
      <c r="AI51" s="274" t="s">
        <v>65</v>
      </c>
      <c r="AJ51" s="237"/>
      <c r="AK51" s="237"/>
      <c r="AL51" s="237"/>
      <c r="AM51" s="275">
        <f t="shared" ref="AM51:AM55" si="5">LEN(AN51)</f>
        <v>268</v>
      </c>
      <c r="AN51" s="247" t="s">
        <v>65</v>
      </c>
      <c r="AO51" s="237"/>
      <c r="AP51" s="237"/>
      <c r="AQ51" s="237"/>
      <c r="AR51" s="237"/>
      <c r="AS51" s="237"/>
      <c r="AT51" s="237"/>
      <c r="AU51" s="237"/>
      <c r="AV51" s="237"/>
      <c r="AW51" s="275">
        <f t="shared" ref="AW51:AW55" si="6">LEN(AX51)</f>
        <v>0</v>
      </c>
      <c r="AX51" s="237"/>
      <c r="AY51" s="237"/>
      <c r="AZ51" s="237"/>
      <c r="BA51" s="237"/>
      <c r="BB51" s="237"/>
      <c r="BC51" s="237"/>
      <c r="BD51" s="237"/>
      <c r="BE51" s="237"/>
      <c r="BF51" s="237"/>
      <c r="BG51" s="237"/>
      <c r="BH51" s="237"/>
      <c r="BI51" s="237"/>
      <c r="BJ51" s="237"/>
      <c r="BK51" s="237"/>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row>
    <row r="52" spans="1:113" ht="14.1" customHeight="1" x14ac:dyDescent="0.25">
      <c r="A52" s="19"/>
      <c r="E52" s="72"/>
      <c r="F52" s="72"/>
      <c r="G52" s="81"/>
      <c r="H52" s="19"/>
      <c r="I52" s="244"/>
      <c r="J52" s="474"/>
      <c r="K52" s="474"/>
      <c r="L52" s="474"/>
      <c r="M52" s="474"/>
      <c r="N52" s="474"/>
      <c r="O52" s="474"/>
      <c r="P52" s="474"/>
      <c r="Q52" s="474"/>
      <c r="R52" s="474"/>
      <c r="S52" s="474"/>
      <c r="T52" s="474"/>
      <c r="U52" s="169"/>
      <c r="V52" s="148"/>
      <c r="W52" s="148"/>
      <c r="X52" s="148"/>
      <c r="Y52" s="148"/>
      <c r="Z52" s="148"/>
      <c r="AA52" s="148"/>
      <c r="AB52" s="148"/>
      <c r="AC52" s="148"/>
      <c r="AD52" s="148"/>
      <c r="AE52" s="148"/>
      <c r="AF52" s="148"/>
      <c r="AG52" s="148"/>
      <c r="AH52" s="237"/>
      <c r="AI52" s="274" t="s">
        <v>66</v>
      </c>
      <c r="AJ52" s="237"/>
      <c r="AK52" s="237"/>
      <c r="AL52" s="237"/>
      <c r="AM52" s="275">
        <f t="shared" si="5"/>
        <v>283</v>
      </c>
      <c r="AN52" s="247" t="s">
        <v>66</v>
      </c>
      <c r="AO52" s="237"/>
      <c r="AP52" s="237"/>
      <c r="AQ52" s="237"/>
      <c r="AR52" s="237"/>
      <c r="AS52" s="237"/>
      <c r="AT52" s="237"/>
      <c r="AU52" s="237"/>
      <c r="AV52" s="237"/>
      <c r="AW52" s="275">
        <f t="shared" si="6"/>
        <v>0</v>
      </c>
      <c r="AX52" s="237"/>
      <c r="AY52" s="237"/>
      <c r="AZ52" s="237"/>
      <c r="BA52" s="237"/>
      <c r="BB52" s="237"/>
      <c r="BC52" s="237"/>
      <c r="BD52" s="237"/>
      <c r="BE52" s="237"/>
      <c r="BF52" s="237"/>
      <c r="BG52" s="237"/>
      <c r="BH52" s="237"/>
      <c r="BI52" s="237"/>
      <c r="BJ52" s="237"/>
      <c r="BK52" s="237"/>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row>
    <row r="53" spans="1:113" ht="14.1" customHeight="1" x14ac:dyDescent="0.25">
      <c r="A53" s="19"/>
      <c r="E53" s="72"/>
      <c r="F53" s="72"/>
      <c r="G53" s="81"/>
      <c r="H53" s="19"/>
      <c r="I53" s="244"/>
      <c r="J53" s="474"/>
      <c r="K53" s="474"/>
      <c r="L53" s="474"/>
      <c r="M53" s="474"/>
      <c r="N53" s="474"/>
      <c r="O53" s="474"/>
      <c r="P53" s="474"/>
      <c r="Q53" s="474"/>
      <c r="R53" s="474"/>
      <c r="S53" s="474"/>
      <c r="T53" s="474"/>
      <c r="U53" s="169"/>
      <c r="V53" s="148"/>
      <c r="W53" s="148"/>
      <c r="X53" s="148"/>
      <c r="Y53" s="148"/>
      <c r="Z53" s="148"/>
      <c r="AA53" s="148"/>
      <c r="AB53" s="148"/>
      <c r="AC53" s="148"/>
      <c r="AD53" s="148"/>
      <c r="AE53" s="148"/>
      <c r="AF53" s="148"/>
      <c r="AG53" s="148"/>
      <c r="AH53" s="237"/>
      <c r="AI53" s="274" t="str">
        <f>IF($M$1=$D$72,AN53,AX53)</f>
        <v>The estimated "Gross MCC Tax Benefit" amount is the actual expected Federal Tax Credit that can be claimed on the homeowner's tax return;  tax law limits this amount to $2,000 annually.  The estimated "Net MCC Tax Benefit" shows the Federal Tax Credit less the impact of potentially losing some mortgage interest deductions.</v>
      </c>
      <c r="AJ53" s="237"/>
      <c r="AK53" s="237"/>
      <c r="AL53" s="237"/>
      <c r="AM53" s="275">
        <f t="shared" si="5"/>
        <v>324</v>
      </c>
      <c r="AN53" s="247" t="s">
        <v>67</v>
      </c>
      <c r="AO53" s="237"/>
      <c r="AP53" s="237"/>
      <c r="AQ53" s="237"/>
      <c r="AR53" s="237"/>
      <c r="AS53" s="237"/>
      <c r="AT53" s="237"/>
      <c r="AU53" s="237"/>
      <c r="AV53" s="237"/>
      <c r="AW53" s="275">
        <f t="shared" si="6"/>
        <v>209</v>
      </c>
      <c r="AX53" s="277" t="s">
        <v>68</v>
      </c>
      <c r="AY53" s="237"/>
      <c r="AZ53" s="237"/>
      <c r="BA53" s="237"/>
      <c r="BB53" s="237"/>
      <c r="BC53" s="237"/>
      <c r="BD53" s="237"/>
      <c r="BE53" s="237"/>
      <c r="BF53" s="237"/>
      <c r="BG53" s="237"/>
      <c r="BH53" s="237"/>
      <c r="BI53" s="237"/>
      <c r="BJ53" s="237"/>
      <c r="BK53" s="237"/>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row>
    <row r="54" spans="1:113" ht="14.1" customHeight="1" x14ac:dyDescent="0.25">
      <c r="A54" s="19"/>
      <c r="E54" s="72"/>
      <c r="F54" s="72"/>
      <c r="G54" s="81"/>
      <c r="H54" s="19"/>
      <c r="I54" s="244"/>
      <c r="J54" s="474"/>
      <c r="K54" s="474"/>
      <c r="L54" s="474"/>
      <c r="M54" s="474"/>
      <c r="N54" s="474"/>
      <c r="O54" s="474"/>
      <c r="P54" s="474"/>
      <c r="Q54" s="474"/>
      <c r="R54" s="474"/>
      <c r="S54" s="474"/>
      <c r="T54" s="474"/>
      <c r="U54" s="169"/>
      <c r="V54" s="148"/>
      <c r="W54" s="148"/>
      <c r="X54" s="148"/>
      <c r="Y54" s="148"/>
      <c r="Z54" s="148"/>
      <c r="AA54" s="148"/>
      <c r="AB54" s="148"/>
      <c r="AC54" s="148"/>
      <c r="AD54" s="148"/>
      <c r="AE54" s="148"/>
      <c r="AF54" s="148"/>
      <c r="AG54" s="148"/>
      <c r="AH54" s="237"/>
      <c r="AI54" s="274"/>
      <c r="AJ54" s="237"/>
      <c r="AK54" s="237"/>
      <c r="AL54" s="237"/>
      <c r="AM54" s="275"/>
      <c r="AN54" s="247"/>
      <c r="AO54" s="237"/>
      <c r="AP54" s="237"/>
      <c r="AQ54" s="237"/>
      <c r="AR54" s="237"/>
      <c r="AS54" s="237"/>
      <c r="AT54" s="237"/>
      <c r="AU54" s="237"/>
      <c r="AV54" s="237"/>
      <c r="AW54" s="275"/>
      <c r="AX54" s="277"/>
      <c r="AY54" s="237"/>
      <c r="AZ54" s="237"/>
      <c r="BA54" s="237"/>
      <c r="BB54" s="237"/>
      <c r="BC54" s="237"/>
      <c r="BD54" s="237"/>
      <c r="BE54" s="237"/>
      <c r="BF54" s="237"/>
      <c r="BG54" s="237"/>
      <c r="BH54" s="237"/>
      <c r="BI54" s="237"/>
      <c r="BJ54" s="237"/>
      <c r="BK54" s="237"/>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row>
    <row r="55" spans="1:113" ht="14.1" customHeight="1" x14ac:dyDescent="0.25">
      <c r="A55" s="19"/>
      <c r="E55" s="72"/>
      <c r="F55" s="72"/>
      <c r="G55" s="81"/>
      <c r="H55" s="19"/>
      <c r="I55" s="244"/>
      <c r="J55" s="474"/>
      <c r="K55" s="474"/>
      <c r="L55" s="474"/>
      <c r="M55" s="474"/>
      <c r="N55" s="474"/>
      <c r="O55" s="474"/>
      <c r="P55" s="474"/>
      <c r="Q55" s="474"/>
      <c r="R55" s="474"/>
      <c r="S55" s="474"/>
      <c r="T55" s="474"/>
      <c r="U55" s="169"/>
      <c r="V55" s="148"/>
      <c r="W55" s="148"/>
      <c r="X55" s="148"/>
      <c r="Y55" s="148"/>
      <c r="Z55" s="148"/>
      <c r="AA55" s="148"/>
      <c r="AB55" s="148"/>
      <c r="AC55" s="148"/>
      <c r="AD55" s="148"/>
      <c r="AE55" s="148"/>
      <c r="AF55" s="148"/>
      <c r="AG55" s="148"/>
      <c r="AH55" s="237"/>
      <c r="AI55" s="274" t="s">
        <v>69</v>
      </c>
      <c r="AJ55" s="237"/>
      <c r="AK55" s="237"/>
      <c r="AL55" s="237"/>
      <c r="AM55" s="275">
        <f t="shared" si="5"/>
        <v>134</v>
      </c>
      <c r="AN55" s="247" t="s">
        <v>69</v>
      </c>
      <c r="AO55" s="237"/>
      <c r="AP55" s="237"/>
      <c r="AQ55" s="237"/>
      <c r="AR55" s="237"/>
      <c r="AS55" s="237"/>
      <c r="AT55" s="237"/>
      <c r="AU55" s="237"/>
      <c r="AV55" s="237"/>
      <c r="AW55" s="275">
        <f t="shared" si="6"/>
        <v>0</v>
      </c>
      <c r="AX55" s="237"/>
      <c r="AY55" s="237"/>
      <c r="AZ55" s="237"/>
      <c r="BA55" s="237"/>
      <c r="BB55" s="237"/>
      <c r="BC55" s="237"/>
      <c r="BD55" s="237"/>
      <c r="BE55" s="237"/>
      <c r="BF55" s="237"/>
      <c r="BG55" s="237"/>
      <c r="BH55" s="237"/>
      <c r="BI55" s="237"/>
      <c r="BJ55" s="237"/>
      <c r="BK55" s="237"/>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c r="CS55" s="14"/>
      <c r="CT55" s="14"/>
      <c r="CU55" s="14"/>
      <c r="CV55" s="14"/>
      <c r="CW55" s="14"/>
      <c r="CX55" s="14"/>
      <c r="CY55" s="14"/>
      <c r="CZ55" s="14"/>
      <c r="DA55" s="14"/>
      <c r="DB55" s="14"/>
      <c r="DC55" s="14"/>
      <c r="DD55" s="14"/>
      <c r="DE55" s="14"/>
      <c r="DF55" s="14"/>
      <c r="DG55" s="14"/>
      <c r="DH55" s="14"/>
      <c r="DI55" s="14"/>
    </row>
    <row r="56" spans="1:113" ht="15" customHeight="1" x14ac:dyDescent="0.25">
      <c r="A56" s="19"/>
      <c r="E56" s="72"/>
      <c r="F56" s="72"/>
      <c r="G56" s="81"/>
      <c r="H56" s="19"/>
      <c r="I56" s="245"/>
      <c r="J56" s="474"/>
      <c r="K56" s="474"/>
      <c r="L56" s="474"/>
      <c r="M56" s="474"/>
      <c r="N56" s="474"/>
      <c r="O56" s="474"/>
      <c r="P56" s="474"/>
      <c r="Q56" s="474"/>
      <c r="R56" s="474"/>
      <c r="S56" s="474"/>
      <c r="T56" s="474"/>
      <c r="U56" s="169"/>
      <c r="V56" s="148"/>
      <c r="W56" s="148"/>
      <c r="X56" s="148"/>
      <c r="Y56" s="148"/>
      <c r="Z56" s="148"/>
      <c r="AA56" s="148"/>
      <c r="AB56" s="148"/>
      <c r="AC56" s="148"/>
      <c r="AD56" s="148"/>
      <c r="AE56" s="148"/>
      <c r="AF56" s="148"/>
      <c r="AG56" s="148"/>
      <c r="AH56" s="237"/>
      <c r="AI56" s="237"/>
      <c r="AJ56" s="237"/>
      <c r="AK56" s="237"/>
      <c r="AL56" s="237"/>
      <c r="AM56" s="237"/>
      <c r="AN56" s="237"/>
      <c r="AO56" s="237"/>
      <c r="AP56" s="237"/>
      <c r="AQ56" s="237"/>
      <c r="AR56" s="237"/>
      <c r="AS56" s="237"/>
      <c r="AT56" s="237"/>
      <c r="AU56" s="237"/>
      <c r="AV56" s="237"/>
      <c r="AW56" s="237"/>
      <c r="AX56" s="237"/>
      <c r="AY56" s="237"/>
      <c r="AZ56" s="237"/>
      <c r="BA56" s="237"/>
      <c r="BB56" s="237"/>
      <c r="BC56" s="237"/>
      <c r="BD56" s="237"/>
      <c r="BE56" s="237"/>
      <c r="BF56" s="237"/>
      <c r="BG56" s="237"/>
      <c r="BH56" s="237"/>
      <c r="BI56" s="237"/>
      <c r="BJ56" s="237"/>
      <c r="BK56" s="237"/>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c r="CS56" s="14"/>
      <c r="CT56" s="14"/>
      <c r="CU56" s="14"/>
      <c r="CV56" s="14"/>
      <c r="CW56" s="14"/>
      <c r="CX56" s="14"/>
      <c r="CY56" s="14"/>
      <c r="CZ56" s="14"/>
      <c r="DA56" s="14"/>
      <c r="DB56" s="14"/>
      <c r="DC56" s="14"/>
      <c r="DD56" s="14"/>
      <c r="DE56" s="14"/>
      <c r="DF56" s="14"/>
      <c r="DG56" s="14"/>
      <c r="DH56" s="14"/>
      <c r="DI56" s="14"/>
    </row>
    <row r="57" spans="1:113" ht="14.1" customHeight="1" x14ac:dyDescent="0.25">
      <c r="A57" s="19"/>
      <c r="E57" s="72"/>
      <c r="F57" s="72"/>
      <c r="G57" s="81"/>
      <c r="H57" s="19"/>
      <c r="I57" s="246"/>
      <c r="J57" s="474"/>
      <c r="K57" s="474"/>
      <c r="L57" s="474"/>
      <c r="M57" s="474"/>
      <c r="N57" s="474"/>
      <c r="O57" s="474"/>
      <c r="P57" s="474"/>
      <c r="Q57" s="474"/>
      <c r="R57" s="474"/>
      <c r="S57" s="474"/>
      <c r="T57" s="474"/>
      <c r="U57" s="169"/>
      <c r="V57" s="148"/>
      <c r="W57" s="148"/>
      <c r="X57" s="148"/>
      <c r="Y57" s="148"/>
      <c r="Z57" s="148"/>
      <c r="AA57" s="148"/>
      <c r="AB57" s="148"/>
      <c r="AC57" s="148"/>
      <c r="AD57" s="148"/>
      <c r="AE57" s="148"/>
      <c r="AF57" s="148"/>
      <c r="AG57" s="148"/>
      <c r="AH57" s="237"/>
      <c r="AI57" s="237"/>
      <c r="AJ57" s="237"/>
      <c r="AK57" s="237"/>
      <c r="AL57" s="237"/>
      <c r="AM57" s="278">
        <f>SUM(AM50:AM56)</f>
        <v>1118</v>
      </c>
      <c r="AN57" s="237"/>
      <c r="AO57" s="237"/>
      <c r="AP57" s="237"/>
      <c r="AQ57" s="237"/>
      <c r="AR57" s="237"/>
      <c r="AS57" s="237"/>
      <c r="AT57" s="237"/>
      <c r="AU57" s="237"/>
      <c r="AV57" s="237"/>
      <c r="AW57" s="278">
        <f>SUM(AW50:AW56)</f>
        <v>209</v>
      </c>
      <c r="AX57" s="237"/>
      <c r="AY57" s="237"/>
      <c r="AZ57" s="237"/>
      <c r="BA57" s="237"/>
      <c r="BB57" s="237"/>
      <c r="BC57" s="237"/>
      <c r="BD57" s="237"/>
      <c r="BE57" s="237"/>
      <c r="BF57" s="237"/>
      <c r="BG57" s="237"/>
      <c r="BH57" s="237"/>
      <c r="BI57" s="237"/>
      <c r="BJ57" s="237"/>
      <c r="BK57" s="237"/>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c r="CS57" s="14"/>
      <c r="CT57" s="14"/>
      <c r="CU57" s="14"/>
      <c r="CV57" s="14"/>
      <c r="CW57" s="14"/>
      <c r="CX57" s="14"/>
      <c r="CY57" s="14"/>
      <c r="CZ57" s="14"/>
      <c r="DA57" s="14"/>
      <c r="DB57" s="14"/>
      <c r="DC57" s="14"/>
      <c r="DD57" s="14"/>
      <c r="DE57" s="14"/>
      <c r="DF57" s="14"/>
      <c r="DG57" s="14"/>
      <c r="DH57" s="14"/>
      <c r="DI57" s="14"/>
    </row>
    <row r="58" spans="1:113" ht="14.1" customHeight="1" x14ac:dyDescent="0.25">
      <c r="A58" s="19"/>
      <c r="E58" s="72"/>
      <c r="F58" s="72"/>
      <c r="G58" s="81"/>
      <c r="H58" s="19"/>
      <c r="I58" s="247"/>
      <c r="J58" s="474"/>
      <c r="K58" s="474"/>
      <c r="L58" s="474"/>
      <c r="M58" s="474"/>
      <c r="N58" s="474"/>
      <c r="O58" s="474"/>
      <c r="P58" s="474"/>
      <c r="Q58" s="474"/>
      <c r="R58" s="474"/>
      <c r="S58" s="474"/>
      <c r="T58" s="474"/>
      <c r="U58" s="169"/>
      <c r="V58" s="148"/>
      <c r="W58" s="256"/>
      <c r="X58" s="148"/>
      <c r="Y58" s="148"/>
      <c r="Z58" s="148"/>
      <c r="AA58" s="148"/>
      <c r="AB58" s="148"/>
      <c r="AC58" s="148"/>
      <c r="AD58" s="148"/>
      <c r="AE58" s="148"/>
      <c r="AF58" s="148"/>
      <c r="AG58" s="148"/>
      <c r="AH58" s="237"/>
      <c r="AI58" s="237"/>
      <c r="AJ58" s="237"/>
      <c r="AK58" s="237"/>
      <c r="AL58" s="237"/>
      <c r="AM58" s="237"/>
      <c r="AN58" s="237"/>
      <c r="AO58" s="237"/>
      <c r="AP58" s="237"/>
      <c r="AQ58" s="237"/>
      <c r="AR58" s="237"/>
      <c r="AS58" s="237"/>
      <c r="AT58" s="237"/>
      <c r="AU58" s="237"/>
      <c r="AV58" s="237"/>
      <c r="AW58" s="237"/>
      <c r="AX58" s="237"/>
      <c r="AY58" s="237"/>
      <c r="AZ58" s="237"/>
      <c r="BA58" s="237"/>
      <c r="BB58" s="237"/>
      <c r="BC58" s="237"/>
      <c r="BD58" s="237"/>
      <c r="BE58" s="237"/>
      <c r="BF58" s="237"/>
      <c r="BG58" s="237"/>
      <c r="BH58" s="237"/>
      <c r="BI58" s="237"/>
      <c r="BJ58" s="237"/>
      <c r="BK58" s="237"/>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c r="CS58" s="14"/>
      <c r="CT58" s="14"/>
      <c r="CU58" s="14"/>
      <c r="CV58" s="14"/>
      <c r="CW58" s="14"/>
      <c r="CX58" s="14"/>
      <c r="CY58" s="14"/>
      <c r="CZ58" s="14"/>
      <c r="DA58" s="14"/>
      <c r="DB58" s="14"/>
      <c r="DC58" s="14"/>
      <c r="DD58" s="14"/>
      <c r="DE58" s="14"/>
      <c r="DF58" s="14"/>
      <c r="DG58" s="14"/>
      <c r="DH58" s="14"/>
      <c r="DI58" s="14"/>
    </row>
    <row r="59" spans="1:113" ht="3.95" customHeight="1" x14ac:dyDescent="0.3">
      <c r="A59" s="19"/>
      <c r="E59" s="72"/>
      <c r="F59" s="72"/>
      <c r="G59" s="81"/>
      <c r="H59" s="19"/>
      <c r="I59" s="248"/>
      <c r="J59" s="167"/>
      <c r="K59" s="167"/>
      <c r="L59" s="167"/>
      <c r="M59" s="167"/>
      <c r="N59" s="167"/>
      <c r="O59" s="167"/>
      <c r="P59" s="167"/>
      <c r="Q59" s="167"/>
      <c r="R59" s="167"/>
      <c r="S59" s="167"/>
      <c r="T59" s="167"/>
      <c r="U59" s="169"/>
      <c r="V59" s="148"/>
      <c r="W59" s="256"/>
      <c r="X59" s="148"/>
      <c r="Y59" s="148"/>
      <c r="Z59" s="148"/>
      <c r="AA59" s="148"/>
      <c r="AB59" s="148"/>
      <c r="AC59" s="148"/>
      <c r="AD59" s="148"/>
      <c r="AE59" s="148"/>
      <c r="AF59" s="148"/>
      <c r="AG59" s="148"/>
      <c r="AH59" s="237"/>
      <c r="AI59" s="237"/>
      <c r="AJ59" s="237"/>
      <c r="AK59" s="237"/>
      <c r="AL59" s="237"/>
      <c r="AM59" s="237"/>
      <c r="AN59" s="237"/>
      <c r="AO59" s="237"/>
      <c r="AP59" s="237"/>
      <c r="AQ59" s="237"/>
      <c r="AR59" s="237"/>
      <c r="AS59" s="237"/>
      <c r="AT59" s="237"/>
      <c r="AU59" s="237"/>
      <c r="AV59" s="237"/>
      <c r="AW59" s="237"/>
      <c r="AX59" s="237"/>
      <c r="AY59" s="237"/>
      <c r="AZ59" s="237"/>
      <c r="BA59" s="237"/>
      <c r="BB59" s="237"/>
      <c r="BC59" s="237"/>
      <c r="BD59" s="237"/>
      <c r="BE59" s="237"/>
      <c r="BF59" s="237"/>
      <c r="BG59" s="237"/>
      <c r="BH59" s="237"/>
      <c r="BI59" s="237"/>
      <c r="BJ59" s="237"/>
      <c r="BK59" s="237"/>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row>
    <row r="60" spans="1:113" ht="17.100000000000001" customHeight="1" x14ac:dyDescent="0.25">
      <c r="A60" s="82">
        <f>M31</f>
        <v>4.4999999999999998E-2</v>
      </c>
      <c r="E60" s="72"/>
      <c r="F60" s="72"/>
      <c r="G60" s="81"/>
      <c r="H60" s="83">
        <f>C48</f>
        <v>360</v>
      </c>
      <c r="I60" s="249">
        <f>Q48-(RATE(H60,((M25+-CUMIPMT(A60/12,H60,$B$46,1,H60,0)-Q47)/H60),-M25)*12)</f>
        <v>-3.0739299994309022E-15</v>
      </c>
      <c r="J60" s="170"/>
      <c r="K60" s="171" t="str">
        <f>IF($M$1=$D$72,"o","")</f>
        <v>o</v>
      </c>
      <c r="L60" s="172" t="str">
        <f>IF($M$1=$D$72,CONCATENATE("The numbers shown reflect a ",$H60/12,"-year amortizing loan with a mortgage interest rate of ",TEXT($A60,"0.000%"),"."),"")</f>
        <v>The numbers shown reflect a 30-year amortizing loan with a mortgage interest rate of 4.500%.</v>
      </c>
      <c r="M60" s="173"/>
      <c r="N60" s="173"/>
      <c r="O60" s="173"/>
      <c r="P60" s="173"/>
      <c r="Q60" s="173"/>
      <c r="R60" s="173"/>
      <c r="S60" s="173"/>
      <c r="T60" s="173"/>
      <c r="U60" s="169"/>
      <c r="V60" s="148"/>
      <c r="W60" s="256"/>
      <c r="X60" s="148"/>
      <c r="Y60" s="148"/>
      <c r="Z60" s="148"/>
      <c r="AA60" s="148"/>
      <c r="AB60" s="148"/>
      <c r="AC60" s="148"/>
      <c r="AD60" s="148"/>
      <c r="AE60" s="148"/>
      <c r="AF60" s="148"/>
      <c r="AG60" s="148"/>
      <c r="AH60" s="237"/>
      <c r="AI60" s="247" t="s">
        <v>70</v>
      </c>
      <c r="AJ60" s="237"/>
      <c r="AK60" s="237"/>
      <c r="AL60" s="237"/>
      <c r="AM60" s="275">
        <f t="shared" ref="AM60:AM66" si="7">LEN(AN60)</f>
        <v>92</v>
      </c>
      <c r="AN60" s="279" t="str">
        <f>CONCATENATE("The numbers shown reflect a ",$H60/12,"-year amortizing loan with a mortgage interest rate of ",TEXT($A60,"0.000%"),".")</f>
        <v>The numbers shown reflect a 30-year amortizing loan with a mortgage interest rate of 4.500%.</v>
      </c>
      <c r="AO60" s="237"/>
      <c r="AP60" s="237"/>
      <c r="AQ60" s="237"/>
      <c r="AR60" s="237"/>
      <c r="AS60" s="237"/>
      <c r="AT60" s="237"/>
      <c r="AU60" s="237"/>
      <c r="AV60" s="237"/>
      <c r="AW60" s="275">
        <f t="shared" ref="AW60:AW64" si="8">LEN(AX60)</f>
        <v>0</v>
      </c>
      <c r="AX60" s="237"/>
      <c r="AY60" s="237"/>
      <c r="AZ60" s="237"/>
      <c r="BA60" s="237"/>
      <c r="BB60" s="237"/>
      <c r="BC60" s="237"/>
      <c r="BD60" s="237"/>
      <c r="BE60" s="237"/>
      <c r="BF60" s="237"/>
      <c r="BG60" s="237"/>
      <c r="BH60" s="237"/>
      <c r="BI60" s="237"/>
      <c r="BJ60" s="237"/>
      <c r="BK60" s="237"/>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row>
    <row r="61" spans="1:113" ht="15.75" hidden="1" x14ac:dyDescent="0.25">
      <c r="A61" s="19"/>
      <c r="E61" s="72"/>
      <c r="F61" s="72"/>
      <c r="G61" s="81"/>
      <c r="H61" s="19"/>
      <c r="I61" s="250"/>
      <c r="J61" s="170"/>
      <c r="K61" s="174" t="s">
        <v>71</v>
      </c>
      <c r="L61" s="175" t="s">
        <v>72</v>
      </c>
      <c r="M61" s="167"/>
      <c r="N61" s="167"/>
      <c r="O61" s="167"/>
      <c r="P61" s="167"/>
      <c r="Q61" s="167"/>
      <c r="R61" s="167"/>
      <c r="S61" s="167"/>
      <c r="T61" s="167"/>
      <c r="U61" s="169"/>
      <c r="V61" s="148"/>
      <c r="W61" s="256"/>
      <c r="X61" s="148"/>
      <c r="Y61" s="148"/>
      <c r="Z61" s="148"/>
      <c r="AA61" s="148"/>
      <c r="AB61" s="148"/>
      <c r="AC61" s="148"/>
      <c r="AD61" s="148"/>
      <c r="AE61" s="148"/>
      <c r="AF61" s="148"/>
      <c r="AG61" s="148"/>
      <c r="AH61" s="237"/>
      <c r="AI61" s="247" t="s">
        <v>72</v>
      </c>
      <c r="AJ61" s="237"/>
      <c r="AK61" s="237"/>
      <c r="AL61" s="237"/>
      <c r="AM61" s="275">
        <f t="shared" si="7"/>
        <v>137</v>
      </c>
      <c r="AN61" s="280" t="s">
        <v>72</v>
      </c>
      <c r="AO61" s="237"/>
      <c r="AP61" s="237"/>
      <c r="AQ61" s="237"/>
      <c r="AR61" s="237"/>
      <c r="AS61" s="237"/>
      <c r="AT61" s="237"/>
      <c r="AU61" s="237"/>
      <c r="AV61" s="237"/>
      <c r="AW61" s="275">
        <f t="shared" si="8"/>
        <v>0</v>
      </c>
      <c r="AX61" s="237"/>
      <c r="AY61" s="237"/>
      <c r="AZ61" s="237"/>
      <c r="BA61" s="237"/>
      <c r="BB61" s="237"/>
      <c r="BC61" s="237"/>
      <c r="BD61" s="237"/>
      <c r="BE61" s="237"/>
      <c r="BF61" s="237"/>
      <c r="BG61" s="237"/>
      <c r="BH61" s="237"/>
      <c r="BI61" s="237"/>
      <c r="BJ61" s="237"/>
      <c r="BK61" s="237"/>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row>
    <row r="62" spans="1:113" ht="15.75" hidden="1" x14ac:dyDescent="0.25">
      <c r="A62" s="19"/>
      <c r="E62" s="72"/>
      <c r="F62" s="72"/>
      <c r="G62" s="81"/>
      <c r="H62" s="19"/>
      <c r="I62" s="250"/>
      <c r="J62" s="170"/>
      <c r="K62" s="174" t="s">
        <v>71</v>
      </c>
      <c r="L62" s="175" t="s">
        <v>73</v>
      </c>
      <c r="M62" s="167"/>
      <c r="N62" s="167"/>
      <c r="O62" s="167"/>
      <c r="P62" s="167"/>
      <c r="Q62" s="167"/>
      <c r="R62" s="167"/>
      <c r="S62" s="167"/>
      <c r="T62" s="167"/>
      <c r="U62" s="169"/>
      <c r="V62" s="148"/>
      <c r="W62" s="256"/>
      <c r="X62" s="148"/>
      <c r="Y62" s="148"/>
      <c r="Z62" s="148"/>
      <c r="AA62" s="148"/>
      <c r="AB62" s="148"/>
      <c r="AC62" s="148"/>
      <c r="AD62" s="148"/>
      <c r="AE62" s="148"/>
      <c r="AF62" s="148"/>
      <c r="AG62" s="148"/>
      <c r="AH62" s="237"/>
      <c r="AI62" s="247" t="s">
        <v>73</v>
      </c>
      <c r="AJ62" s="237"/>
      <c r="AK62" s="237"/>
      <c r="AL62" s="237"/>
      <c r="AM62" s="275">
        <f t="shared" si="7"/>
        <v>138</v>
      </c>
      <c r="AN62" s="280" t="s">
        <v>73</v>
      </c>
      <c r="AO62" s="237"/>
      <c r="AP62" s="237"/>
      <c r="AQ62" s="237"/>
      <c r="AR62" s="237"/>
      <c r="AS62" s="237"/>
      <c r="AT62" s="237"/>
      <c r="AU62" s="237"/>
      <c r="AV62" s="237"/>
      <c r="AW62" s="275">
        <f t="shared" si="8"/>
        <v>0</v>
      </c>
      <c r="AX62" s="237"/>
      <c r="AY62" s="237"/>
      <c r="AZ62" s="237"/>
      <c r="BA62" s="237"/>
      <c r="BB62" s="237"/>
      <c r="BC62" s="237"/>
      <c r="BD62" s="237"/>
      <c r="BE62" s="237"/>
      <c r="BF62" s="237"/>
      <c r="BG62" s="237"/>
      <c r="BH62" s="237"/>
      <c r="BI62" s="237"/>
      <c r="BJ62" s="237"/>
      <c r="BK62" s="237"/>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row>
    <row r="63" spans="1:113" ht="17.100000000000001" customHeight="1" x14ac:dyDescent="0.25">
      <c r="A63" s="19"/>
      <c r="E63" s="72"/>
      <c r="F63" s="72"/>
      <c r="G63" s="81"/>
      <c r="H63" s="82">
        <f>M30</f>
        <v>0.25</v>
      </c>
      <c r="I63" s="250"/>
      <c r="J63" s="170"/>
      <c r="K63" s="171" t="str">
        <f>IF($M$1=$D$72,"o","o")</f>
        <v>o</v>
      </c>
      <c r="L63" s="172" t="str">
        <f>IF($M$1=$D$72,AI63,AI60)</f>
        <v>For purposes of deriving the Net MMC Tax Benefit; a 25% Federal tax bracket has been assumed (the Net Benefit is 75% of the Tax Credit).</v>
      </c>
      <c r="M63" s="176"/>
      <c r="N63" s="176"/>
      <c r="O63" s="176"/>
      <c r="P63" s="176"/>
      <c r="Q63" s="176"/>
      <c r="R63" s="176"/>
      <c r="S63" s="176"/>
      <c r="T63" s="176"/>
      <c r="U63" s="169"/>
      <c r="V63" s="148"/>
      <c r="W63" s="256"/>
      <c r="X63" s="148"/>
      <c r="Y63" s="148"/>
      <c r="Z63" s="148"/>
      <c r="AA63" s="148"/>
      <c r="AB63" s="148"/>
      <c r="AC63" s="148"/>
      <c r="AD63" s="148"/>
      <c r="AE63" s="148"/>
      <c r="AF63" s="148"/>
      <c r="AG63" s="148"/>
      <c r="AH63" s="237"/>
      <c r="AI63" s="247" t="s">
        <v>74</v>
      </c>
      <c r="AJ63" s="237"/>
      <c r="AK63" s="237"/>
      <c r="AL63" s="237"/>
      <c r="AM63" s="275">
        <f t="shared" si="7"/>
        <v>136</v>
      </c>
      <c r="AN63" s="280" t="str">
        <f>CONCATENATE("For purposes of deriving the Net MMC Tax Benefit; a ",TEXT($H63,"0%")," Federal tax bracket has been assumed (the Net Benefit is ",TEXT(1-$H63,"0%")," of the Tax Credit).")</f>
        <v>For purposes of deriving the Net MMC Tax Benefit; a 25% Federal tax bracket has been assumed (the Net Benefit is 75% of the Tax Credit).</v>
      </c>
      <c r="AO63" s="237"/>
      <c r="AP63" s="237"/>
      <c r="AQ63" s="237"/>
      <c r="AR63" s="237"/>
      <c r="AS63" s="237"/>
      <c r="AT63" s="237"/>
      <c r="AU63" s="237"/>
      <c r="AV63" s="237"/>
      <c r="AW63" s="275">
        <f t="shared" si="8"/>
        <v>0</v>
      </c>
      <c r="AX63" s="237"/>
      <c r="AY63" s="237"/>
      <c r="AZ63" s="237"/>
      <c r="BA63" s="237"/>
      <c r="BB63" s="237"/>
      <c r="BC63" s="237"/>
      <c r="BD63" s="237"/>
      <c r="BE63" s="237"/>
      <c r="BF63" s="237"/>
      <c r="BG63" s="237"/>
      <c r="BH63" s="237"/>
      <c r="BI63" s="237"/>
      <c r="BJ63" s="237"/>
      <c r="BK63" s="237"/>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14"/>
      <c r="CT63" s="14"/>
      <c r="CU63" s="14"/>
      <c r="CV63" s="14"/>
      <c r="CW63" s="14"/>
      <c r="CX63" s="14"/>
      <c r="CY63" s="14"/>
      <c r="CZ63" s="14"/>
      <c r="DA63" s="14"/>
      <c r="DB63" s="14"/>
      <c r="DC63" s="14"/>
      <c r="DD63" s="14"/>
      <c r="DE63" s="14"/>
      <c r="DF63" s="14"/>
      <c r="DG63" s="14"/>
      <c r="DH63" s="14"/>
      <c r="DI63" s="14"/>
    </row>
    <row r="64" spans="1:113" ht="14.1" customHeight="1" x14ac:dyDescent="0.25">
      <c r="A64" s="19"/>
      <c r="E64" s="72"/>
      <c r="F64" s="72"/>
      <c r="G64" s="81"/>
      <c r="H64" s="82"/>
      <c r="I64" s="251"/>
      <c r="J64" s="170"/>
      <c r="K64" s="171" t="str">
        <f>IF($M$1=$D$72,"o","o")</f>
        <v>o</v>
      </c>
      <c r="L64" s="475" t="str">
        <f>IF($M$1=$D$72,AI64,AI64)</f>
        <v>The ''Effective Interest Rate'' of 3.76% is estimated based on total interest to be paid less the net tax benefit of the MCC over the life of loan.  The calculations do not take into account the effect of points or fees charged to the Homebuyer in connection with the origination of the mortgage.</v>
      </c>
      <c r="M64" s="476"/>
      <c r="N64" s="476"/>
      <c r="O64" s="476"/>
      <c r="P64" s="476"/>
      <c r="Q64" s="476"/>
      <c r="R64" s="476"/>
      <c r="S64" s="476"/>
      <c r="T64" s="476"/>
      <c r="U64" s="169"/>
      <c r="V64" s="148"/>
      <c r="W64" s="256"/>
      <c r="X64" s="148"/>
      <c r="Y64" s="148"/>
      <c r="Z64" s="148"/>
      <c r="AA64" s="148"/>
      <c r="AB64" s="148"/>
      <c r="AC64" s="148"/>
      <c r="AD64" s="148"/>
      <c r="AE64" s="148"/>
      <c r="AF64" s="148"/>
      <c r="AG64" s="148"/>
      <c r="AH64" s="237"/>
      <c r="AI64" s="274" t="str">
        <f>IF($M$1=$D$72,AN64,AX64)</f>
        <v>The ''Effective Interest Rate'' of 3.76% is estimated based on total interest to be paid less the net tax benefit of the MCC over the life of loan.  The calculations do not take into account the effect of points or fees charged to the Homebuyer in connection with the origination of the mortgage.</v>
      </c>
      <c r="AJ64" s="237"/>
      <c r="AK64" s="237"/>
      <c r="AL64" s="237"/>
      <c r="AM64" s="275">
        <f t="shared" si="7"/>
        <v>296</v>
      </c>
      <c r="AN64" s="280" t="str">
        <f>CONCATENATE("The ''Effective Interest Rate'' of ",TEXT($Q$48,"0.00%")," is estimated based on total interest to be paid less the net tax benefit of the MCC over the life of loan.  ",BG64)</f>
        <v>The ''Effective Interest Rate'' of 3.76% is estimated based on total interest to be paid less the net tax benefit of the MCC over the life of loan.  The calculations do not take into account the effect of points or fees charged to the Homebuyer in connection with the origination of the mortgage.</v>
      </c>
      <c r="AO64" s="237"/>
      <c r="AP64" s="237"/>
      <c r="AQ64" s="237"/>
      <c r="AR64" s="237"/>
      <c r="AS64" s="237"/>
      <c r="AT64" s="237"/>
      <c r="AU64" s="237"/>
      <c r="AV64" s="237"/>
      <c r="AW64" s="275">
        <f t="shared" si="8"/>
        <v>297</v>
      </c>
      <c r="AX64" s="280" t="str">
        <f>CONCATENATE("The ''Effective Interest Rate'' of ",TEXT($M$48,"0.00%")," is estimated based on total interest to be paid less the expected Federal tax credit over the life of loan.  ",BG64)</f>
        <v>The ''Effective Interest Rate'' of 3.51% is estimated based on total interest to be paid less the expected Federal tax credit over the life of loan.  The calculations do not take into account the effect of points or fees charged to the Homebuyer in connection with the origination of the mortgage.</v>
      </c>
      <c r="AY64" s="237"/>
      <c r="AZ64" s="237"/>
      <c r="BA64" s="237"/>
      <c r="BB64" s="237"/>
      <c r="BC64" s="237"/>
      <c r="BD64" s="237"/>
      <c r="BE64" s="237"/>
      <c r="BF64" s="237"/>
      <c r="BG64" s="281" t="s">
        <v>75</v>
      </c>
      <c r="BH64" s="237"/>
      <c r="BI64" s="237"/>
      <c r="BJ64" s="237"/>
      <c r="BK64" s="237"/>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14"/>
      <c r="CT64" s="14"/>
      <c r="CU64" s="14"/>
      <c r="CV64" s="14"/>
      <c r="CW64" s="14"/>
      <c r="CX64" s="14"/>
      <c r="CY64" s="14"/>
      <c r="CZ64" s="14"/>
      <c r="DA64" s="14"/>
      <c r="DB64" s="14"/>
      <c r="DC64" s="14"/>
      <c r="DD64" s="14"/>
      <c r="DE64" s="14"/>
      <c r="DF64" s="14"/>
      <c r="DG64" s="14"/>
      <c r="DH64" s="14"/>
      <c r="DI64" s="14"/>
    </row>
    <row r="65" spans="1:113" ht="14.1" customHeight="1" x14ac:dyDescent="0.25">
      <c r="A65" s="19"/>
      <c r="E65" s="72"/>
      <c r="F65" s="72"/>
      <c r="G65" s="81"/>
      <c r="H65" s="82"/>
      <c r="I65" s="251"/>
      <c r="J65" s="170"/>
      <c r="K65" s="171"/>
      <c r="L65" s="476"/>
      <c r="M65" s="476"/>
      <c r="N65" s="476"/>
      <c r="O65" s="476"/>
      <c r="P65" s="476"/>
      <c r="Q65" s="476"/>
      <c r="R65" s="476"/>
      <c r="S65" s="476"/>
      <c r="T65" s="476"/>
      <c r="U65" s="169"/>
      <c r="V65" s="148"/>
      <c r="W65" s="256"/>
      <c r="X65" s="148"/>
      <c r="Y65" s="148"/>
      <c r="Z65" s="148"/>
      <c r="AA65" s="148"/>
      <c r="AB65" s="148"/>
      <c r="AC65" s="148"/>
      <c r="AD65" s="148"/>
      <c r="AE65" s="148"/>
      <c r="AF65" s="148"/>
      <c r="AG65" s="148"/>
      <c r="AH65" s="237"/>
      <c r="AI65" s="274"/>
      <c r="AJ65" s="237"/>
      <c r="AK65" s="237"/>
      <c r="AL65" s="237"/>
      <c r="AM65" s="275"/>
      <c r="AN65" s="280"/>
      <c r="AO65" s="237"/>
      <c r="AP65" s="237"/>
      <c r="AQ65" s="237"/>
      <c r="AR65" s="237"/>
      <c r="AS65" s="237"/>
      <c r="AT65" s="237"/>
      <c r="AU65" s="237"/>
      <c r="AV65" s="237"/>
      <c r="AW65" s="275"/>
      <c r="AX65" s="280"/>
      <c r="AY65" s="237"/>
      <c r="AZ65" s="237"/>
      <c r="BA65" s="237"/>
      <c r="BB65" s="237"/>
      <c r="BC65" s="237"/>
      <c r="BD65" s="237"/>
      <c r="BE65" s="237"/>
      <c r="BF65" s="237"/>
      <c r="BG65" s="237"/>
      <c r="BH65" s="237"/>
      <c r="BI65" s="237"/>
      <c r="BJ65" s="237"/>
      <c r="BK65" s="237"/>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row>
    <row r="66" spans="1:113" ht="17.100000000000001" customHeight="1" x14ac:dyDescent="0.25">
      <c r="A66" s="19"/>
      <c r="E66" s="72"/>
      <c r="F66" s="72"/>
      <c r="G66" s="81"/>
      <c r="H66" s="82"/>
      <c r="I66" s="250"/>
      <c r="J66" s="170"/>
      <c r="K66" s="171" t="str">
        <f>IF($M$1=$D$72,"o","o")</f>
        <v>o</v>
      </c>
      <c r="L66" s="475" t="str">
        <f>AI66</f>
        <v xml:space="preserve">The calculations assume the Homebuyer owns and occupies the residence throughout the term of the mortgage.  A sale or other disposition will terminate the right to future credits and, if it occurs within the nine years after purchase, may trigger a "recapture tax" in which a formula amount is added to the Homebuyer's tax liability to recapture the benefit of the MCCs.  The formula amount of additional tax may, in certain circumstances, exceed the net benefit of the MCCs.  See Recapture Tax Notice provided by the Lender.  NOTE: The practice of CDA has been to reimburse borrowers for the recapture tax on sales of residences that were financed through its Maryland Mortgage Program. </v>
      </c>
      <c r="M66" s="476"/>
      <c r="N66" s="476"/>
      <c r="O66" s="476"/>
      <c r="P66" s="476"/>
      <c r="Q66" s="476"/>
      <c r="R66" s="476"/>
      <c r="S66" s="476"/>
      <c r="T66" s="476"/>
      <c r="U66" s="169"/>
      <c r="V66" s="148"/>
      <c r="W66" s="256"/>
      <c r="X66" s="148"/>
      <c r="Y66" s="148"/>
      <c r="Z66" s="148"/>
      <c r="AA66" s="148"/>
      <c r="AB66" s="148"/>
      <c r="AC66" s="148"/>
      <c r="AD66" s="148"/>
      <c r="AE66" s="148"/>
      <c r="AF66" s="148"/>
      <c r="AG66" s="148"/>
      <c r="AH66" s="237"/>
      <c r="AI66" s="274" t="str">
        <f>AN66</f>
        <v xml:space="preserve">The calculations assume the Homebuyer owns and occupies the residence throughout the term of the mortgage.  A sale or other disposition will terminate the right to future credits and, if it occurs within the nine years after purchase, may trigger a "recapture tax" in which a formula amount is added to the Homebuyer's tax liability to recapture the benefit of the MCCs.  The formula amount of additional tax may, in certain circumstances, exceed the net benefit of the MCCs.  See Recapture Tax Notice provided by the Lender.  NOTE: The practice of CDA has been to reimburse borrowers for the recapture tax on sales of residences that were financed through its Maryland Mortgage Program. </v>
      </c>
      <c r="AJ66" s="237"/>
      <c r="AK66" s="237"/>
      <c r="AL66" s="237"/>
      <c r="AM66" s="275">
        <f t="shared" si="7"/>
        <v>688</v>
      </c>
      <c r="AN66" s="280" t="s">
        <v>76</v>
      </c>
      <c r="AO66" s="237"/>
      <c r="AP66" s="237"/>
      <c r="AQ66" s="237"/>
      <c r="AR66" s="237"/>
      <c r="AS66" s="237"/>
      <c r="AT66" s="237"/>
      <c r="AU66" s="237"/>
      <c r="AV66" s="237"/>
      <c r="AW66" s="275"/>
      <c r="AX66" s="280"/>
      <c r="AY66" s="237"/>
      <c r="AZ66" s="237"/>
      <c r="BA66" s="237"/>
      <c r="BB66" s="237"/>
      <c r="BC66" s="237"/>
      <c r="BD66" s="237"/>
      <c r="BE66" s="237"/>
      <c r="BF66" s="237"/>
      <c r="BG66" s="237"/>
      <c r="BH66" s="237"/>
      <c r="BI66" s="237"/>
      <c r="BJ66" s="237"/>
      <c r="BK66" s="237"/>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14"/>
      <c r="CT66" s="14"/>
      <c r="CU66" s="14"/>
      <c r="CV66" s="14"/>
      <c r="CW66" s="14"/>
      <c r="CX66" s="14"/>
      <c r="CY66" s="14"/>
      <c r="CZ66" s="14"/>
      <c r="DA66" s="14"/>
      <c r="DB66" s="14"/>
      <c r="DC66" s="14"/>
      <c r="DD66" s="14"/>
      <c r="DE66" s="14"/>
      <c r="DF66" s="14"/>
      <c r="DG66" s="14"/>
      <c r="DH66" s="14"/>
      <c r="DI66" s="14"/>
    </row>
    <row r="67" spans="1:113" ht="17.100000000000001" customHeight="1" x14ac:dyDescent="0.25">
      <c r="A67" s="19"/>
      <c r="E67" s="72"/>
      <c r="F67" s="72"/>
      <c r="G67" s="81"/>
      <c r="H67" s="82"/>
      <c r="I67" s="250"/>
      <c r="J67" s="170"/>
      <c r="K67" s="171"/>
      <c r="L67" s="475"/>
      <c r="M67" s="476"/>
      <c r="N67" s="476"/>
      <c r="O67" s="476"/>
      <c r="P67" s="476"/>
      <c r="Q67" s="476"/>
      <c r="R67" s="476"/>
      <c r="S67" s="476"/>
      <c r="T67" s="476"/>
      <c r="U67" s="169"/>
      <c r="V67" s="148"/>
      <c r="W67" s="256"/>
      <c r="X67" s="148"/>
      <c r="Y67" s="148"/>
      <c r="Z67" s="148"/>
      <c r="AA67" s="148"/>
      <c r="AB67" s="148"/>
      <c r="AC67" s="148"/>
      <c r="AD67" s="148"/>
      <c r="AE67" s="148"/>
      <c r="AF67" s="148"/>
      <c r="AG67" s="148"/>
      <c r="AH67" s="237"/>
      <c r="AI67" s="274"/>
      <c r="AJ67" s="237"/>
      <c r="AK67" s="237"/>
      <c r="AL67" s="237"/>
      <c r="AM67" s="275"/>
      <c r="AN67" s="280"/>
      <c r="AO67" s="237"/>
      <c r="AP67" s="237"/>
      <c r="AQ67" s="237"/>
      <c r="AR67" s="237"/>
      <c r="AS67" s="237"/>
      <c r="AT67" s="237"/>
      <c r="AU67" s="237"/>
      <c r="AV67" s="237"/>
      <c r="AW67" s="275"/>
      <c r="AX67" s="280"/>
      <c r="AY67" s="237"/>
      <c r="AZ67" s="237"/>
      <c r="BA67" s="237"/>
      <c r="BB67" s="237"/>
      <c r="BC67" s="237"/>
      <c r="BD67" s="237"/>
      <c r="BE67" s="237"/>
      <c r="BF67" s="237"/>
      <c r="BG67" s="237"/>
      <c r="BH67" s="237"/>
      <c r="BI67" s="237"/>
      <c r="BJ67" s="237"/>
      <c r="BK67" s="237"/>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14"/>
      <c r="CT67" s="14"/>
      <c r="CU67" s="14"/>
      <c r="CV67" s="14"/>
      <c r="CW67" s="14"/>
      <c r="CX67" s="14"/>
      <c r="CY67" s="14"/>
      <c r="CZ67" s="14"/>
      <c r="DA67" s="14"/>
      <c r="DB67" s="14"/>
      <c r="DC67" s="14"/>
      <c r="DD67" s="14"/>
      <c r="DE67" s="14"/>
      <c r="DF67" s="14"/>
      <c r="DG67" s="14"/>
      <c r="DH67" s="14"/>
      <c r="DI67" s="14"/>
    </row>
    <row r="68" spans="1:113" ht="17.100000000000001" customHeight="1" x14ac:dyDescent="0.25">
      <c r="A68" s="19"/>
      <c r="E68" s="72"/>
      <c r="F68" s="72"/>
      <c r="G68" s="81"/>
      <c r="H68" s="82"/>
      <c r="I68" s="250"/>
      <c r="J68" s="170"/>
      <c r="K68" s="171"/>
      <c r="L68" s="475"/>
      <c r="M68" s="476"/>
      <c r="N68" s="476"/>
      <c r="O68" s="476"/>
      <c r="P68" s="476"/>
      <c r="Q68" s="476"/>
      <c r="R68" s="476"/>
      <c r="S68" s="476"/>
      <c r="T68" s="476"/>
      <c r="U68" s="169"/>
      <c r="V68" s="148"/>
      <c r="W68" s="256"/>
      <c r="X68" s="148"/>
      <c r="Y68" s="148"/>
      <c r="Z68" s="148"/>
      <c r="AA68" s="148"/>
      <c r="AB68" s="148"/>
      <c r="AC68" s="148"/>
      <c r="AD68" s="148"/>
      <c r="AE68" s="148"/>
      <c r="AF68" s="148"/>
      <c r="AG68" s="148"/>
      <c r="AH68" s="148"/>
      <c r="AI68" s="282"/>
      <c r="AJ68" s="148"/>
      <c r="AK68" s="148"/>
      <c r="AL68" s="148"/>
      <c r="AM68" s="283"/>
      <c r="AN68" s="175"/>
      <c r="AO68" s="148"/>
      <c r="AP68" s="148"/>
      <c r="AQ68" s="148"/>
      <c r="AR68" s="148"/>
      <c r="AS68" s="148"/>
      <c r="AT68" s="148"/>
      <c r="AU68" s="148"/>
      <c r="AV68" s="148"/>
      <c r="AW68" s="283"/>
      <c r="AX68" s="175"/>
      <c r="AY68" s="148"/>
      <c r="AZ68" s="148"/>
      <c r="BA68" s="148"/>
      <c r="BB68" s="148"/>
      <c r="BC68" s="148"/>
      <c r="BD68" s="148"/>
      <c r="BE68" s="148"/>
      <c r="BF68" s="148"/>
      <c r="BG68" s="148"/>
      <c r="BH68" s="148"/>
      <c r="BI68" s="148"/>
      <c r="BJ68" s="148"/>
      <c r="BK68" s="148"/>
    </row>
    <row r="69" spans="1:113" ht="15" customHeight="1" x14ac:dyDescent="0.25">
      <c r="A69" s="19"/>
      <c r="E69" s="72"/>
      <c r="F69" s="72"/>
      <c r="G69" s="81"/>
      <c r="H69" s="82"/>
      <c r="I69" s="250"/>
      <c r="J69" s="170"/>
      <c r="K69" s="171"/>
      <c r="L69" s="476"/>
      <c r="M69" s="476"/>
      <c r="N69" s="476"/>
      <c r="O69" s="476"/>
      <c r="P69" s="476"/>
      <c r="Q69" s="476"/>
      <c r="R69" s="476"/>
      <c r="S69" s="476"/>
      <c r="T69" s="476"/>
      <c r="U69" s="169"/>
      <c r="V69" s="148"/>
      <c r="W69" s="256"/>
      <c r="X69" s="148"/>
      <c r="Y69" s="148"/>
      <c r="Z69" s="148"/>
      <c r="AA69" s="148"/>
      <c r="AB69" s="148"/>
      <c r="AC69" s="148"/>
      <c r="AD69" s="148"/>
      <c r="AE69" s="148"/>
      <c r="AF69" s="148"/>
      <c r="AG69" s="148"/>
      <c r="AH69" s="148"/>
      <c r="AI69" s="282"/>
      <c r="AJ69" s="148"/>
      <c r="AK69" s="148"/>
      <c r="AL69" s="148"/>
      <c r="AM69" s="283"/>
      <c r="AN69" s="175"/>
      <c r="AO69" s="148"/>
      <c r="AP69" s="148"/>
      <c r="AQ69" s="148"/>
      <c r="AR69" s="148"/>
      <c r="AS69" s="148"/>
      <c r="AT69" s="148"/>
      <c r="AU69" s="148"/>
      <c r="AV69" s="148"/>
      <c r="AW69" s="283"/>
      <c r="AX69" s="175"/>
      <c r="AY69" s="148"/>
      <c r="AZ69" s="148"/>
      <c r="BA69" s="148"/>
      <c r="BB69" s="148"/>
      <c r="BC69" s="148"/>
      <c r="BD69" s="148"/>
      <c r="BE69" s="148"/>
      <c r="BF69" s="148"/>
      <c r="BG69" s="148"/>
      <c r="BH69" s="148"/>
      <c r="BI69" s="148"/>
      <c r="BJ69" s="148"/>
      <c r="BK69" s="148"/>
    </row>
    <row r="70" spans="1:113" ht="3" customHeight="1" x14ac:dyDescent="0.25">
      <c r="A70" s="19"/>
      <c r="E70" s="12"/>
      <c r="F70" s="12"/>
      <c r="G70" s="12"/>
      <c r="H70" s="19"/>
      <c r="I70" s="252"/>
      <c r="J70" s="177"/>
      <c r="K70" s="177"/>
      <c r="L70" s="177"/>
      <c r="M70" s="178"/>
      <c r="N70" s="178"/>
      <c r="O70" s="179"/>
      <c r="P70" s="148"/>
      <c r="Q70" s="178"/>
      <c r="R70" s="178"/>
      <c r="S70" s="179"/>
      <c r="T70" s="148"/>
      <c r="U70" s="148"/>
      <c r="V70" s="148"/>
      <c r="W70" s="148"/>
      <c r="X70" s="148"/>
      <c r="Y70" s="148"/>
      <c r="Z70" s="148"/>
      <c r="AA70" s="148"/>
      <c r="AB70" s="148"/>
      <c r="AC70" s="148"/>
      <c r="AD70" s="148"/>
      <c r="AE70" s="148"/>
      <c r="AF70" s="148"/>
      <c r="AG70" s="148"/>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c r="BI70" s="148"/>
      <c r="BJ70" s="148"/>
      <c r="BK70" s="148"/>
    </row>
    <row r="71" spans="1:113" ht="3.95" customHeight="1" x14ac:dyDescent="0.25">
      <c r="A71" s="19"/>
      <c r="E71" s="12"/>
      <c r="F71" s="12"/>
      <c r="G71" s="12"/>
      <c r="H71" s="19"/>
      <c r="I71" s="252"/>
      <c r="J71" s="177"/>
      <c r="K71" s="177"/>
      <c r="L71" s="177"/>
      <c r="M71" s="177"/>
      <c r="N71" s="177"/>
      <c r="O71" s="177"/>
      <c r="P71" s="148"/>
      <c r="Q71" s="177"/>
      <c r="R71" s="177"/>
      <c r="S71" s="177"/>
      <c r="T71" s="148"/>
      <c r="U71" s="148"/>
      <c r="V71" s="148"/>
      <c r="W71" s="148"/>
      <c r="X71" s="148"/>
      <c r="Y71" s="148"/>
      <c r="Z71" s="148"/>
      <c r="AA71" s="148"/>
      <c r="AB71" s="148"/>
      <c r="AC71" s="148"/>
      <c r="AD71" s="148"/>
      <c r="AE71" s="148"/>
      <c r="AF71" s="148"/>
      <c r="AG71" s="148"/>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c r="BI71" s="148"/>
      <c r="BJ71" s="148"/>
      <c r="BK71" s="148"/>
    </row>
    <row r="72" spans="1:113" ht="26.25" x14ac:dyDescent="0.25">
      <c r="A72" s="19"/>
      <c r="C72" s="84" t="s">
        <v>77</v>
      </c>
      <c r="D72" s="84" t="s">
        <v>0</v>
      </c>
      <c r="F72" s="84">
        <v>2014</v>
      </c>
      <c r="G72" s="85">
        <f>G47</f>
        <v>30</v>
      </c>
      <c r="H72" s="19"/>
      <c r="I72" s="241">
        <f>M109-IF(F75="YES",-CUMIPMT($M$31/12,$G$48,$M$25,1,G72*12,0),-CUMIPMT($M$31/12,$G$48,$M$25,1,SUMIF(G77:G108,IF(F75="NO",CONCATENATE("&lt;=",G72+1),CONCATENATE("&lt;=",G72)),E77:E108),0))</f>
        <v>0</v>
      </c>
      <c r="J72" s="180" t="s">
        <v>78</v>
      </c>
      <c r="K72" s="180"/>
      <c r="L72" s="180"/>
      <c r="M72" s="181"/>
      <c r="N72" s="182"/>
      <c r="O72" s="183"/>
      <c r="P72" s="183"/>
      <c r="Q72" s="181"/>
      <c r="R72" s="182"/>
      <c r="S72" s="183"/>
      <c r="T72" s="183"/>
      <c r="U72" s="183"/>
      <c r="V72" s="148"/>
      <c r="W72" s="148"/>
      <c r="X72" s="148"/>
      <c r="Y72" s="148"/>
      <c r="Z72" s="148"/>
      <c r="AA72" s="148"/>
      <c r="AB72" s="148"/>
      <c r="AC72" s="148"/>
      <c r="AD72" s="148"/>
      <c r="AE72" s="148"/>
      <c r="AF72" s="148"/>
      <c r="AG72" s="148"/>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c r="BI72" s="148"/>
      <c r="BJ72" s="148"/>
      <c r="BK72" s="148"/>
    </row>
    <row r="73" spans="1:113" ht="6" customHeight="1" thickBot="1" x14ac:dyDescent="0.3">
      <c r="A73" s="19"/>
      <c r="C73" s="84"/>
      <c r="D73" s="84"/>
      <c r="F73" s="86"/>
      <c r="G73" s="85"/>
      <c r="H73" s="19"/>
      <c r="I73" s="241"/>
      <c r="J73" s="150"/>
      <c r="K73" s="150"/>
      <c r="L73" s="150"/>
      <c r="M73" s="184"/>
      <c r="N73" s="185"/>
      <c r="O73" s="186"/>
      <c r="P73" s="186"/>
      <c r="Q73" s="184"/>
      <c r="R73" s="185"/>
      <c r="S73" s="186"/>
      <c r="T73" s="186"/>
      <c r="U73" s="186"/>
      <c r="V73" s="148"/>
      <c r="W73" s="148"/>
      <c r="X73" s="148"/>
      <c r="Y73" s="148"/>
      <c r="Z73" s="148"/>
      <c r="AA73" s="148"/>
      <c r="AB73" s="148"/>
      <c r="AC73" s="148"/>
      <c r="AD73" s="148"/>
      <c r="AE73" s="148"/>
      <c r="AF73" s="148"/>
      <c r="AG73" s="148"/>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c r="BI73" s="148"/>
      <c r="BJ73" s="148"/>
      <c r="BK73" s="148"/>
    </row>
    <row r="74" spans="1:113" ht="24" thickBot="1" x14ac:dyDescent="0.4">
      <c r="A74" s="88"/>
      <c r="C74" s="84"/>
      <c r="D74" s="84"/>
      <c r="E74" s="84"/>
      <c r="F74" s="89" t="str">
        <f>G39</f>
        <v>Net</v>
      </c>
      <c r="G74" s="89" t="str">
        <f>IF(F74=D72,"NO","YES")</f>
        <v>NO</v>
      </c>
      <c r="H74" s="88"/>
      <c r="I74" s="237"/>
      <c r="J74" s="187"/>
      <c r="K74" s="188"/>
      <c r="L74" s="188"/>
      <c r="M74" s="452" t="str">
        <f>CONCATENATE(M23," First Mortgage")</f>
        <v xml:space="preserve"> First Mortgage</v>
      </c>
      <c r="N74" s="453"/>
      <c r="O74" s="453"/>
      <c r="P74" s="454"/>
      <c r="Q74" s="189" t="str">
        <f>IF(M1="NET","MCC Federal Tax Overview","")</f>
        <v>MCC Federal Tax Overview</v>
      </c>
      <c r="R74" s="190"/>
      <c r="S74" s="191"/>
      <c r="T74" s="192"/>
      <c r="U74" s="90" t="s">
        <v>79</v>
      </c>
      <c r="V74" s="284"/>
      <c r="W74" s="285"/>
      <c r="X74" s="285"/>
      <c r="Y74" s="285"/>
      <c r="Z74" s="148"/>
      <c r="AA74" s="148"/>
      <c r="AB74" s="148"/>
      <c r="AC74" s="148"/>
      <c r="AD74" s="148"/>
      <c r="AE74" s="148"/>
      <c r="AF74" s="285"/>
      <c r="AG74" s="148"/>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c r="BI74" s="148"/>
      <c r="BJ74" s="148"/>
      <c r="BK74" s="148"/>
    </row>
    <row r="75" spans="1:113" ht="31.5" x14ac:dyDescent="0.25">
      <c r="A75" s="19"/>
      <c r="D75" s="91">
        <f>M30</f>
        <v>0.25</v>
      </c>
      <c r="E75" s="92">
        <f>IF(SUM(E40)=0,"",E40)</f>
        <v>41852</v>
      </c>
      <c r="F75" s="93" t="str">
        <f>F40</f>
        <v>NO</v>
      </c>
      <c r="G75" s="91">
        <f>M33</f>
        <v>0.25</v>
      </c>
      <c r="H75" s="19"/>
      <c r="I75" s="237"/>
      <c r="J75" s="193"/>
      <c r="K75" s="194"/>
      <c r="L75" s="195"/>
      <c r="M75" s="455" t="s">
        <v>80</v>
      </c>
      <c r="N75" s="456"/>
      <c r="O75" s="196" t="str">
        <f>IF($F$74=$C$72,"Estimated MCC Amount","Est MCC Tax Benefit")</f>
        <v>Est MCC Tax Benefit</v>
      </c>
      <c r="P75" s="197"/>
      <c r="Q75" s="198" t="s">
        <v>153</v>
      </c>
      <c r="R75" s="199"/>
      <c r="S75" s="459" t="s">
        <v>152</v>
      </c>
      <c r="T75" s="460"/>
      <c r="U75" s="90" t="s">
        <v>79</v>
      </c>
      <c r="V75" s="148"/>
      <c r="W75" s="148"/>
      <c r="X75" s="148"/>
      <c r="Y75" s="148"/>
      <c r="Z75" s="148"/>
      <c r="AA75" s="148"/>
      <c r="AB75" s="148"/>
      <c r="AC75" s="148"/>
      <c r="AD75" s="148"/>
      <c r="AE75" s="148"/>
      <c r="AF75" s="148"/>
      <c r="AG75" s="148"/>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row>
    <row r="76" spans="1:113" ht="19.5" thickBot="1" x14ac:dyDescent="0.3">
      <c r="A76" s="19"/>
      <c r="D76" s="91"/>
      <c r="E76" s="92"/>
      <c r="F76" s="93"/>
      <c r="G76" s="91"/>
      <c r="H76" s="19"/>
      <c r="I76" s="237"/>
      <c r="J76" s="200"/>
      <c r="K76" s="201"/>
      <c r="L76" s="202"/>
      <c r="M76" s="457"/>
      <c r="N76" s="458"/>
      <c r="O76" s="203" t="s">
        <v>81</v>
      </c>
      <c r="P76" s="204" t="s">
        <v>82</v>
      </c>
      <c r="Q76" s="205" t="s">
        <v>81</v>
      </c>
      <c r="R76" s="206" t="s">
        <v>82</v>
      </c>
      <c r="S76" s="461"/>
      <c r="T76" s="462"/>
      <c r="U76" s="90"/>
      <c r="V76" s="286"/>
      <c r="W76" s="148"/>
      <c r="X76" s="148"/>
      <c r="Y76" s="148"/>
      <c r="Z76" s="148"/>
      <c r="AA76" s="148"/>
      <c r="AB76" s="148"/>
      <c r="AC76" s="148"/>
      <c r="AD76" s="148"/>
      <c r="AE76" s="148"/>
      <c r="AF76" s="148"/>
      <c r="AG76" s="148"/>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row>
    <row r="77" spans="1:113" ht="21" customHeight="1" x14ac:dyDescent="0.35">
      <c r="A77" s="19"/>
      <c r="B77" s="94">
        <v>1</v>
      </c>
      <c r="C77" s="54">
        <f>IF(E77="",B77+11,B77+E77-1)</f>
        <v>5</v>
      </c>
      <c r="D77" s="95">
        <v>1</v>
      </c>
      <c r="E77" s="96">
        <f t="shared" ref="E77:E107" si="9">IF(OR(SUM($E$75)=0,$E$75=""),"",COUNTIF($F$271:$F$632,$F77))</f>
        <v>5</v>
      </c>
      <c r="F77" s="97">
        <f>IF(E75="",F$72,YEAR(E75))</f>
        <v>2014</v>
      </c>
      <c r="G77" s="95">
        <v>1</v>
      </c>
      <c r="H77" s="19"/>
      <c r="I77" s="241">
        <f t="shared" ref="I77:I83" si="10">IF(G77="","",SUM(W77)+SUM(X77))</f>
        <v>-2.8421709430404007E-14</v>
      </c>
      <c r="J77" s="207" t="str">
        <f>IF($G77="","",IF($F$75="YES",CONCATENATE("Estimated for Year ",$G77," (12 months)"),CONCATENATE("Estimated for ",$F77," (",$E77,IF(E77=1," month"," months"),")")))</f>
        <v>Estimated for 2014 (5 months)</v>
      </c>
      <c r="K77" s="208"/>
      <c r="L77" s="208"/>
      <c r="M77" s="463">
        <f t="shared" ref="M77:M107" si="11">IF($G77="","",M223)</f>
        <v>3272.5756838023922</v>
      </c>
      <c r="N77" s="464"/>
      <c r="O77" s="209">
        <f t="shared" ref="O77:O108" si="12">IF($G77="","",IF($F$74=$C$72,N223,IF($F$74=$D$72,O223,"CHECK")))</f>
        <v>613.60794071294856</v>
      </c>
      <c r="P77" s="210">
        <f>IF($G77="","",O77/M77)</f>
        <v>0.1875</v>
      </c>
      <c r="Q77" s="211">
        <f t="shared" ref="Q77:Q108" si="13">IF($G77="","",N223)</f>
        <v>818.14392095059804</v>
      </c>
      <c r="R77" s="210">
        <f>IF($G77="","",Q77/M77)</f>
        <v>0.25</v>
      </c>
      <c r="S77" s="465">
        <f t="shared" ref="S77:S107" si="14">IF($G77="","",O223)</f>
        <v>613.60794071294856</v>
      </c>
      <c r="T77" s="466"/>
      <c r="U77" s="87"/>
      <c r="V77" s="287"/>
      <c r="W77" s="288">
        <f t="shared" ref="W77:W107" si="15">IF($G77="","",IF($G$75&lt;=$D$118,O77-(M77*$G$75),IF($F$74=$C$72,(O77-(MIN($C$118,M77*$G$75))),(O77-((MIN($C$118,M77*$G$75))-N223*$D$75)))))</f>
        <v>0</v>
      </c>
      <c r="X77" s="288">
        <f>IF(M77="","",(Q77-S77)-(Q77*$M$30))</f>
        <v>-2.8421709430404007E-14</v>
      </c>
      <c r="Y77" s="148"/>
      <c r="Z77" s="148"/>
      <c r="AA77" s="148"/>
      <c r="AB77" s="148"/>
      <c r="AC77" s="148"/>
      <c r="AD77" s="148"/>
      <c r="AE77" s="148"/>
      <c r="AF77" s="148"/>
      <c r="AG77" s="148"/>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c r="BI77" s="148"/>
      <c r="BJ77" s="148"/>
      <c r="BK77" s="148"/>
    </row>
    <row r="78" spans="1:113" ht="21" x14ac:dyDescent="0.35">
      <c r="A78" s="19"/>
      <c r="B78" s="54">
        <f>C77+1</f>
        <v>6</v>
      </c>
      <c r="C78" s="54">
        <f t="shared" ref="C78:C107" si="16">IF(E78="",B78+11,B78+E78-1)</f>
        <v>17</v>
      </c>
      <c r="D78" s="98">
        <f>D77+1</f>
        <v>2</v>
      </c>
      <c r="E78" s="96">
        <f t="shared" si="9"/>
        <v>12</v>
      </c>
      <c r="F78" s="63">
        <f>F77+1</f>
        <v>2015</v>
      </c>
      <c r="G78" s="98">
        <f t="shared" ref="G78:G107" si="17">IF(G77="","",IF(G77+1&lt;=IF(F$75="NO",G$72+1,G$72),G77+1,""))</f>
        <v>2</v>
      </c>
      <c r="H78" s="19"/>
      <c r="I78" s="241">
        <f t="shared" si="10"/>
        <v>-1.1368683772161603E-13</v>
      </c>
      <c r="J78" s="212" t="str">
        <f t="shared" ref="J78:J82" si="18">IF($G78="","",IF($F$75="YES",CONCATENATE("Estimated for Year ",$G78," (12 months)"),CONCATENATE("Estimated for ",$F78," (",$E78,IF(E78=1," month"," months"),")")))</f>
        <v>Estimated for 2015 (12 months)</v>
      </c>
      <c r="K78" s="213"/>
      <c r="L78" s="213"/>
      <c r="M78" s="444">
        <f t="shared" si="11"/>
        <v>7763.9122985062368</v>
      </c>
      <c r="N78" s="445"/>
      <c r="O78" s="214">
        <f t="shared" si="12"/>
        <v>1455.7335559699195</v>
      </c>
      <c r="P78" s="215">
        <f>IF($G78="","",O78/M78)</f>
        <v>0.18750000000000003</v>
      </c>
      <c r="Q78" s="216">
        <f t="shared" si="13"/>
        <v>1940.9780746265592</v>
      </c>
      <c r="R78" s="217">
        <f t="shared" ref="R78:R108" si="19">IF($G78="","",Q78/M78)</f>
        <v>0.25</v>
      </c>
      <c r="S78" s="446">
        <f t="shared" si="14"/>
        <v>1455.7335559699195</v>
      </c>
      <c r="T78" s="447"/>
      <c r="U78" s="87"/>
      <c r="V78" s="287"/>
      <c r="W78" s="288">
        <f t="shared" si="15"/>
        <v>0</v>
      </c>
      <c r="X78" s="288">
        <f t="shared" ref="X78:X109" si="20">IF(M78="","",(Q78-S78)-(Q78*$M$30))</f>
        <v>-1.1368683772161603E-13</v>
      </c>
      <c r="Y78" s="148"/>
      <c r="Z78" s="148"/>
      <c r="AA78" s="148"/>
      <c r="AB78" s="148"/>
      <c r="AC78" s="148"/>
      <c r="AD78" s="148"/>
      <c r="AE78" s="148"/>
      <c r="AF78" s="148"/>
      <c r="AG78" s="148"/>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c r="BI78" s="148"/>
      <c r="BJ78" s="148"/>
      <c r="BK78" s="148"/>
    </row>
    <row r="79" spans="1:113" ht="21" x14ac:dyDescent="0.35">
      <c r="A79" s="19"/>
      <c r="B79" s="54">
        <f t="shared" ref="B79:B107" si="21">C78+1</f>
        <v>18</v>
      </c>
      <c r="C79" s="54">
        <f t="shared" si="16"/>
        <v>29</v>
      </c>
      <c r="D79" s="98">
        <f t="shared" ref="D79:D103" si="22">D78+1</f>
        <v>3</v>
      </c>
      <c r="E79" s="96">
        <f t="shared" si="9"/>
        <v>12</v>
      </c>
      <c r="F79" s="63">
        <f>F78+1</f>
        <v>2016</v>
      </c>
      <c r="G79" s="98">
        <f t="shared" si="17"/>
        <v>3</v>
      </c>
      <c r="H79" s="19"/>
      <c r="I79" s="241">
        <f t="shared" si="10"/>
        <v>-1.1368683772161603E-13</v>
      </c>
      <c r="J79" s="212" t="str">
        <f t="shared" si="18"/>
        <v>Estimated for 2016 (12 months)</v>
      </c>
      <c r="K79" s="213"/>
      <c r="L79" s="213"/>
      <c r="M79" s="444">
        <f t="shared" si="11"/>
        <v>7631.7673469652964</v>
      </c>
      <c r="N79" s="445"/>
      <c r="O79" s="214">
        <f t="shared" si="12"/>
        <v>1430.9563775559932</v>
      </c>
      <c r="P79" s="218">
        <f>IF($G79="","",O79/M79)</f>
        <v>0.18750000000000003</v>
      </c>
      <c r="Q79" s="216">
        <f t="shared" si="13"/>
        <v>1907.9418367413241</v>
      </c>
      <c r="R79" s="217">
        <f t="shared" si="19"/>
        <v>0.25</v>
      </c>
      <c r="S79" s="446">
        <f t="shared" si="14"/>
        <v>1430.9563775559932</v>
      </c>
      <c r="T79" s="447"/>
      <c r="U79" s="87"/>
      <c r="V79" s="287"/>
      <c r="W79" s="288">
        <f t="shared" si="15"/>
        <v>0</v>
      </c>
      <c r="X79" s="288">
        <f t="shared" si="20"/>
        <v>-1.1368683772161603E-13</v>
      </c>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row>
    <row r="80" spans="1:113" ht="21" x14ac:dyDescent="0.35">
      <c r="A80" s="19"/>
      <c r="B80" s="54">
        <f t="shared" si="21"/>
        <v>30</v>
      </c>
      <c r="C80" s="54">
        <f t="shared" si="16"/>
        <v>41</v>
      </c>
      <c r="D80" s="98">
        <f t="shared" si="22"/>
        <v>4</v>
      </c>
      <c r="E80" s="96">
        <f t="shared" si="9"/>
        <v>12</v>
      </c>
      <c r="F80" s="63">
        <f t="shared" ref="F80:F103" si="23">F79+1</f>
        <v>2017</v>
      </c>
      <c r="G80" s="98">
        <f t="shared" si="17"/>
        <v>4</v>
      </c>
      <c r="H80" s="19"/>
      <c r="I80" s="241">
        <f t="shared" si="10"/>
        <v>0</v>
      </c>
      <c r="J80" s="212" t="str">
        <f t="shared" si="18"/>
        <v>Estimated for 2017 (12 months)</v>
      </c>
      <c r="K80" s="213"/>
      <c r="L80" s="213"/>
      <c r="M80" s="444">
        <f t="shared" si="11"/>
        <v>7493.5516794705691</v>
      </c>
      <c r="N80" s="445"/>
      <c r="O80" s="214">
        <f t="shared" si="12"/>
        <v>1405.0409399007317</v>
      </c>
      <c r="P80" s="218">
        <f t="shared" ref="P80:P108" si="24">IF($G80="","",O80/M80)</f>
        <v>0.1875</v>
      </c>
      <c r="Q80" s="216">
        <f t="shared" si="13"/>
        <v>1873.3879198676423</v>
      </c>
      <c r="R80" s="217">
        <f t="shared" si="19"/>
        <v>0.25</v>
      </c>
      <c r="S80" s="446">
        <f t="shared" si="14"/>
        <v>1405.0409399007317</v>
      </c>
      <c r="T80" s="447"/>
      <c r="U80" s="87"/>
      <c r="V80" s="287"/>
      <c r="W80" s="288">
        <f t="shared" si="15"/>
        <v>0</v>
      </c>
      <c r="X80" s="288">
        <f t="shared" si="20"/>
        <v>0</v>
      </c>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row>
    <row r="81" spans="1:63" ht="21" x14ac:dyDescent="0.35">
      <c r="A81" s="19"/>
      <c r="B81" s="54">
        <f t="shared" si="21"/>
        <v>42</v>
      </c>
      <c r="C81" s="54">
        <f t="shared" si="16"/>
        <v>53</v>
      </c>
      <c r="D81" s="98">
        <f t="shared" si="22"/>
        <v>5</v>
      </c>
      <c r="E81" s="96">
        <f t="shared" si="9"/>
        <v>12</v>
      </c>
      <c r="F81" s="63">
        <f t="shared" si="23"/>
        <v>2018</v>
      </c>
      <c r="G81" s="98">
        <f t="shared" si="17"/>
        <v>5</v>
      </c>
      <c r="H81" s="19"/>
      <c r="I81" s="241">
        <f t="shared" si="10"/>
        <v>-1.1368683772161603E-13</v>
      </c>
      <c r="J81" s="212" t="str">
        <f t="shared" si="18"/>
        <v>Estimated for 2018 (12 months)</v>
      </c>
      <c r="K81" s="213"/>
      <c r="L81" s="213"/>
      <c r="M81" s="444">
        <f t="shared" si="11"/>
        <v>7348.9864083932644</v>
      </c>
      <c r="N81" s="445"/>
      <c r="O81" s="214">
        <f t="shared" si="12"/>
        <v>1377.9349515737372</v>
      </c>
      <c r="P81" s="218">
        <f t="shared" si="24"/>
        <v>0.18750000000000003</v>
      </c>
      <c r="Q81" s="216">
        <f t="shared" si="13"/>
        <v>1837.2466020983161</v>
      </c>
      <c r="R81" s="217">
        <f t="shared" si="19"/>
        <v>0.25</v>
      </c>
      <c r="S81" s="446">
        <f t="shared" si="14"/>
        <v>1377.9349515737372</v>
      </c>
      <c r="T81" s="447"/>
      <c r="U81" s="87"/>
      <c r="V81" s="287"/>
      <c r="W81" s="288">
        <f t="shared" si="15"/>
        <v>0</v>
      </c>
      <c r="X81" s="288">
        <f t="shared" si="20"/>
        <v>-1.1368683772161603E-13</v>
      </c>
      <c r="Y81" s="148"/>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c r="BI81" s="148"/>
      <c r="BJ81" s="148"/>
      <c r="BK81" s="148"/>
    </row>
    <row r="82" spans="1:63" ht="21" x14ac:dyDescent="0.35">
      <c r="A82" s="19"/>
      <c r="B82" s="54">
        <f t="shared" si="21"/>
        <v>54</v>
      </c>
      <c r="C82" s="54">
        <f t="shared" si="16"/>
        <v>65</v>
      </c>
      <c r="D82" s="98">
        <f t="shared" si="22"/>
        <v>6</v>
      </c>
      <c r="E82" s="96">
        <f t="shared" si="9"/>
        <v>12</v>
      </c>
      <c r="F82" s="63">
        <f t="shared" si="23"/>
        <v>2019</v>
      </c>
      <c r="G82" s="98">
        <f t="shared" si="17"/>
        <v>6</v>
      </c>
      <c r="H82" s="19"/>
      <c r="I82" s="241">
        <f t="shared" si="10"/>
        <v>5.6843418860808015E-14</v>
      </c>
      <c r="J82" s="212" t="str">
        <f t="shared" si="18"/>
        <v>Estimated for 2019 (12 months)</v>
      </c>
      <c r="K82" s="213"/>
      <c r="L82" s="213"/>
      <c r="M82" s="444">
        <f t="shared" si="11"/>
        <v>7197.7798340557229</v>
      </c>
      <c r="N82" s="445"/>
      <c r="O82" s="214">
        <f t="shared" si="12"/>
        <v>1349.583718885448</v>
      </c>
      <c r="P82" s="218">
        <f t="shared" si="24"/>
        <v>0.1875</v>
      </c>
      <c r="Q82" s="216">
        <f t="shared" si="13"/>
        <v>1799.4449585139307</v>
      </c>
      <c r="R82" s="217">
        <f t="shared" si="19"/>
        <v>0.25</v>
      </c>
      <c r="S82" s="446">
        <f t="shared" si="14"/>
        <v>1349.583718885448</v>
      </c>
      <c r="T82" s="447"/>
      <c r="U82" s="87"/>
      <c r="V82" s="287"/>
      <c r="W82" s="288">
        <f t="shared" si="15"/>
        <v>0</v>
      </c>
      <c r="X82" s="288">
        <f t="shared" si="20"/>
        <v>5.6843418860808015E-14</v>
      </c>
      <c r="Y82" s="148"/>
      <c r="Z82" s="148"/>
      <c r="AA82" s="148"/>
      <c r="AB82" s="148"/>
      <c r="AC82" s="148"/>
      <c r="AD82" s="148"/>
      <c r="AE82" s="148"/>
      <c r="AF82" s="148"/>
      <c r="AG82" s="148"/>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c r="BI82" s="148"/>
      <c r="BJ82" s="148"/>
      <c r="BK82" s="148"/>
    </row>
    <row r="83" spans="1:63" ht="21" x14ac:dyDescent="0.35">
      <c r="A83" s="19"/>
      <c r="B83" s="54">
        <f t="shared" si="21"/>
        <v>66</v>
      </c>
      <c r="C83" s="54">
        <f t="shared" si="16"/>
        <v>77</v>
      </c>
      <c r="D83" s="98">
        <f t="shared" si="22"/>
        <v>7</v>
      </c>
      <c r="E83" s="96">
        <f t="shared" si="9"/>
        <v>12</v>
      </c>
      <c r="F83" s="63">
        <f t="shared" si="23"/>
        <v>2020</v>
      </c>
      <c r="G83" s="98">
        <f t="shared" si="17"/>
        <v>7</v>
      </c>
      <c r="H83" s="19"/>
      <c r="I83" s="241">
        <f t="shared" si="10"/>
        <v>0</v>
      </c>
      <c r="J83" s="212" t="str">
        <f>IF($G83="","",IF($F$75="YES",CONCATENATE("Estimated for Year ",$G83," (12 months)"),CONCATENATE("Estimated for ",$F83," (",$E83,IF(E83=1," month"," months"),")")))</f>
        <v>Estimated for 2020 (12 months)</v>
      </c>
      <c r="K83" s="213"/>
      <c r="L83" s="213"/>
      <c r="M83" s="444">
        <f t="shared" si="11"/>
        <v>7039.6268561481265</v>
      </c>
      <c r="N83" s="445"/>
      <c r="O83" s="214">
        <f t="shared" si="12"/>
        <v>1319.9300355277737</v>
      </c>
      <c r="P83" s="218">
        <f t="shared" si="24"/>
        <v>0.1875</v>
      </c>
      <c r="Q83" s="216">
        <f t="shared" si="13"/>
        <v>1759.9067140370316</v>
      </c>
      <c r="R83" s="217">
        <f t="shared" si="19"/>
        <v>0.25</v>
      </c>
      <c r="S83" s="446">
        <f t="shared" si="14"/>
        <v>1319.9300355277737</v>
      </c>
      <c r="T83" s="447"/>
      <c r="U83" s="87"/>
      <c r="V83" s="287"/>
      <c r="W83" s="288">
        <f t="shared" si="15"/>
        <v>0</v>
      </c>
      <c r="X83" s="288">
        <f t="shared" si="20"/>
        <v>0</v>
      </c>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c r="BI83" s="148"/>
      <c r="BJ83" s="148"/>
      <c r="BK83" s="148"/>
    </row>
    <row r="84" spans="1:63" ht="21" x14ac:dyDescent="0.35">
      <c r="A84" s="19"/>
      <c r="B84" s="54">
        <f t="shared" si="21"/>
        <v>78</v>
      </c>
      <c r="C84" s="54">
        <f t="shared" si="16"/>
        <v>89</v>
      </c>
      <c r="D84" s="98">
        <f t="shared" si="22"/>
        <v>8</v>
      </c>
      <c r="E84" s="96">
        <f t="shared" si="9"/>
        <v>12</v>
      </c>
      <c r="F84" s="63">
        <f t="shared" si="23"/>
        <v>2021</v>
      </c>
      <c r="G84" s="98">
        <f t="shared" si="17"/>
        <v>8</v>
      </c>
      <c r="H84" s="19"/>
      <c r="I84" s="241">
        <f>IF(G84="","",SUM(W84)+SUM(X84))</f>
        <v>1.1368683772161603E-13</v>
      </c>
      <c r="J84" s="212" t="str">
        <f>IF($G84="","",IF($F$75="YES",CONCATENATE("Estimated for Year ",$G84," (12 months)"),CONCATENATE("Estimated for ",$F84," (",$E84,IF(E84=1," month"," months"),")")))</f>
        <v>Estimated for 2021 (12 months)</v>
      </c>
      <c r="K84" s="213"/>
      <c r="L84" s="213"/>
      <c r="M84" s="444">
        <f t="shared" si="11"/>
        <v>6874.2083581058087</v>
      </c>
      <c r="N84" s="445"/>
      <c r="O84" s="214">
        <f t="shared" si="12"/>
        <v>1288.914067144839</v>
      </c>
      <c r="P84" s="218">
        <f t="shared" si="24"/>
        <v>0.18749999999999997</v>
      </c>
      <c r="Q84" s="216">
        <f t="shared" si="13"/>
        <v>1718.5520895264522</v>
      </c>
      <c r="R84" s="217">
        <f t="shared" si="19"/>
        <v>0.25</v>
      </c>
      <c r="S84" s="446">
        <f t="shared" si="14"/>
        <v>1288.914067144839</v>
      </c>
      <c r="T84" s="447"/>
      <c r="U84" s="87"/>
      <c r="V84" s="287"/>
      <c r="W84" s="288">
        <f t="shared" si="15"/>
        <v>0</v>
      </c>
      <c r="X84" s="288">
        <f t="shared" si="20"/>
        <v>1.1368683772161603E-13</v>
      </c>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48"/>
    </row>
    <row r="85" spans="1:63" ht="21" x14ac:dyDescent="0.35">
      <c r="A85" s="19"/>
      <c r="B85" s="54">
        <f t="shared" si="21"/>
        <v>90</v>
      </c>
      <c r="C85" s="54">
        <f t="shared" si="16"/>
        <v>101</v>
      </c>
      <c r="D85" s="98">
        <f t="shared" si="22"/>
        <v>9</v>
      </c>
      <c r="E85" s="96">
        <f t="shared" si="9"/>
        <v>12</v>
      </c>
      <c r="F85" s="63">
        <f t="shared" si="23"/>
        <v>2022</v>
      </c>
      <c r="G85" s="98">
        <f t="shared" si="17"/>
        <v>9</v>
      </c>
      <c r="H85" s="19"/>
      <c r="I85" s="241">
        <f>IF(G85="","",SUM(W85)+SUM(X85))</f>
        <v>0</v>
      </c>
      <c r="J85" s="212" t="str">
        <f>IF($G85="","",IF($F$75="YES",CONCATENATE("Estimated for Year ",$G85," (12 months)"),CONCATENATE("Estimated for ",$F85," (",$E85,IF(E85=1," month"," months"),")")))</f>
        <v>Estimated for 2022 (12 months)</v>
      </c>
      <c r="K85" s="213"/>
      <c r="L85" s="213"/>
      <c r="M85" s="444">
        <f t="shared" si="11"/>
        <v>6701.1905632049493</v>
      </c>
      <c r="N85" s="445"/>
      <c r="O85" s="214">
        <f t="shared" si="12"/>
        <v>1256.473230600928</v>
      </c>
      <c r="P85" s="218">
        <f t="shared" si="24"/>
        <v>0.1875</v>
      </c>
      <c r="Q85" s="216">
        <f t="shared" si="13"/>
        <v>1675.2976408012373</v>
      </c>
      <c r="R85" s="217">
        <f t="shared" si="19"/>
        <v>0.25</v>
      </c>
      <c r="S85" s="446">
        <f t="shared" si="14"/>
        <v>1256.473230600928</v>
      </c>
      <c r="T85" s="447"/>
      <c r="U85" s="87"/>
      <c r="V85" s="289"/>
      <c r="W85" s="288">
        <f t="shared" si="15"/>
        <v>0</v>
      </c>
      <c r="X85" s="288">
        <f t="shared" si="20"/>
        <v>0</v>
      </c>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48"/>
    </row>
    <row r="86" spans="1:63" ht="21" x14ac:dyDescent="0.35">
      <c r="A86" s="19"/>
      <c r="B86" s="54">
        <f t="shared" si="21"/>
        <v>102</v>
      </c>
      <c r="C86" s="54">
        <f t="shared" si="16"/>
        <v>113</v>
      </c>
      <c r="D86" s="98">
        <f t="shared" si="22"/>
        <v>10</v>
      </c>
      <c r="E86" s="96">
        <f t="shared" si="9"/>
        <v>12</v>
      </c>
      <c r="F86" s="63">
        <f t="shared" si="23"/>
        <v>2023</v>
      </c>
      <c r="G86" s="98">
        <f t="shared" si="17"/>
        <v>10</v>
      </c>
      <c r="H86" s="19"/>
      <c r="I86" s="241">
        <f>IF(G86="","",SUM(W86)+SUM(X86))</f>
        <v>-5.6843418860808015E-14</v>
      </c>
      <c r="J86" s="212" t="str">
        <f>IF($G86="","",IF($F$75="YES",CONCATENATE("Estimated for Year ",$G86," (12 months)"),CONCATENATE("Estimated for ",$F86," (",$E86,IF(E86=1," month"," months"),")")))</f>
        <v>Estimated for 2023 (12 months)</v>
      </c>
      <c r="K86" s="213"/>
      <c r="L86" s="213"/>
      <c r="M86" s="444">
        <f t="shared" si="11"/>
        <v>6520.2243610774358</v>
      </c>
      <c r="N86" s="445"/>
      <c r="O86" s="214">
        <f t="shared" si="12"/>
        <v>1222.5420677020193</v>
      </c>
      <c r="P86" s="218">
        <f t="shared" si="24"/>
        <v>0.1875</v>
      </c>
      <c r="Q86" s="216">
        <f t="shared" si="13"/>
        <v>1630.0560902693589</v>
      </c>
      <c r="R86" s="217">
        <f t="shared" si="19"/>
        <v>0.25</v>
      </c>
      <c r="S86" s="446">
        <f t="shared" si="14"/>
        <v>1222.5420677020193</v>
      </c>
      <c r="T86" s="447"/>
      <c r="U86" s="87"/>
      <c r="V86" s="287"/>
      <c r="W86" s="288">
        <f t="shared" si="15"/>
        <v>0</v>
      </c>
      <c r="X86" s="288">
        <f t="shared" si="20"/>
        <v>-5.6843418860808015E-14</v>
      </c>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48"/>
    </row>
    <row r="87" spans="1:63" ht="21" x14ac:dyDescent="0.35">
      <c r="A87" s="19"/>
      <c r="B87" s="54">
        <f t="shared" si="21"/>
        <v>114</v>
      </c>
      <c r="C87" s="54">
        <f t="shared" si="16"/>
        <v>125</v>
      </c>
      <c r="D87" s="98">
        <f t="shared" si="22"/>
        <v>11</v>
      </c>
      <c r="E87" s="96">
        <f t="shared" si="9"/>
        <v>12</v>
      </c>
      <c r="F87" s="63">
        <f t="shared" si="23"/>
        <v>2024</v>
      </c>
      <c r="G87" s="98">
        <f t="shared" si="17"/>
        <v>11</v>
      </c>
      <c r="H87" s="19"/>
      <c r="I87" s="241">
        <f t="shared" ref="I87:I103" si="25">IF(G87="","",SUM(W87)+SUM(X87))</f>
        <v>0</v>
      </c>
      <c r="J87" s="212" t="str">
        <f t="shared" ref="J87:J103" si="26">IF($G87="","",IF($F$75="YES",CONCATENATE("Estimated for Year ",$G87," (12 months)"),CONCATENATE("Estimated for ",$F87," (",$E87,IF(E87=1," month"," months"),")")))</f>
        <v>Estimated for 2024 (12 months)</v>
      </c>
      <c r="K87" s="213"/>
      <c r="L87" s="213"/>
      <c r="M87" s="444">
        <f t="shared" si="11"/>
        <v>6330.9446032859232</v>
      </c>
      <c r="N87" s="445"/>
      <c r="O87" s="214">
        <f t="shared" si="12"/>
        <v>1187.0521131161106</v>
      </c>
      <c r="P87" s="218">
        <f t="shared" si="24"/>
        <v>0.1875</v>
      </c>
      <c r="Q87" s="216">
        <f t="shared" si="13"/>
        <v>1582.7361508214808</v>
      </c>
      <c r="R87" s="217">
        <f t="shared" si="19"/>
        <v>0.25</v>
      </c>
      <c r="S87" s="446">
        <f t="shared" si="14"/>
        <v>1187.0521131161106</v>
      </c>
      <c r="T87" s="447"/>
      <c r="U87" s="87"/>
      <c r="V87" s="287"/>
      <c r="W87" s="288">
        <f t="shared" si="15"/>
        <v>0</v>
      </c>
      <c r="X87" s="288">
        <f t="shared" si="20"/>
        <v>0</v>
      </c>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48"/>
    </row>
    <row r="88" spans="1:63" ht="21" x14ac:dyDescent="0.35">
      <c r="A88" s="19"/>
      <c r="B88" s="54">
        <f t="shared" si="21"/>
        <v>126</v>
      </c>
      <c r="C88" s="54">
        <f t="shared" si="16"/>
        <v>137</v>
      </c>
      <c r="D88" s="98">
        <f t="shared" si="22"/>
        <v>12</v>
      </c>
      <c r="E88" s="96">
        <f t="shared" si="9"/>
        <v>12</v>
      </c>
      <c r="F88" s="63">
        <f t="shared" si="23"/>
        <v>2025</v>
      </c>
      <c r="G88" s="98">
        <f t="shared" si="17"/>
        <v>12</v>
      </c>
      <c r="H88" s="19"/>
      <c r="I88" s="241">
        <f t="shared" si="25"/>
        <v>-1.1368683772161603E-13</v>
      </c>
      <c r="J88" s="212" t="str">
        <f t="shared" si="26"/>
        <v>Estimated for 2025 (12 months)</v>
      </c>
      <c r="K88" s="213"/>
      <c r="L88" s="213"/>
      <c r="M88" s="444">
        <f t="shared" si="11"/>
        <v>6132.9693665377436</v>
      </c>
      <c r="N88" s="445"/>
      <c r="O88" s="214">
        <f t="shared" si="12"/>
        <v>1149.931756225827</v>
      </c>
      <c r="P88" s="218">
        <f t="shared" si="24"/>
        <v>0.18750000000000003</v>
      </c>
      <c r="Q88" s="216">
        <f t="shared" si="13"/>
        <v>1533.2423416344359</v>
      </c>
      <c r="R88" s="217">
        <f t="shared" si="19"/>
        <v>0.25</v>
      </c>
      <c r="S88" s="446">
        <f t="shared" si="14"/>
        <v>1149.931756225827</v>
      </c>
      <c r="T88" s="447"/>
      <c r="U88" s="87"/>
      <c r="V88" s="287"/>
      <c r="W88" s="288">
        <f t="shared" si="15"/>
        <v>0</v>
      </c>
      <c r="X88" s="288">
        <f t="shared" si="20"/>
        <v>-1.1368683772161603E-13</v>
      </c>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row>
    <row r="89" spans="1:63" ht="21" x14ac:dyDescent="0.35">
      <c r="A89" s="19"/>
      <c r="B89" s="54">
        <f t="shared" si="21"/>
        <v>138</v>
      </c>
      <c r="C89" s="54">
        <f t="shared" si="16"/>
        <v>149</v>
      </c>
      <c r="D89" s="98">
        <f t="shared" si="22"/>
        <v>13</v>
      </c>
      <c r="E89" s="96">
        <f t="shared" si="9"/>
        <v>12</v>
      </c>
      <c r="F89" s="63">
        <f t="shared" si="23"/>
        <v>2026</v>
      </c>
      <c r="G89" s="98">
        <f t="shared" si="17"/>
        <v>13</v>
      </c>
      <c r="H89" s="19"/>
      <c r="I89" s="241">
        <f t="shared" si="25"/>
        <v>0</v>
      </c>
      <c r="J89" s="212" t="str">
        <f t="shared" si="26"/>
        <v>Estimated for 2026 (12 months)</v>
      </c>
      <c r="K89" s="213"/>
      <c r="L89" s="213"/>
      <c r="M89" s="444">
        <f t="shared" si="11"/>
        <v>5925.8991820509837</v>
      </c>
      <c r="N89" s="445"/>
      <c r="O89" s="214">
        <f t="shared" si="12"/>
        <v>1111.1060966345594</v>
      </c>
      <c r="P89" s="218">
        <f t="shared" si="24"/>
        <v>0.1875</v>
      </c>
      <c r="Q89" s="216">
        <f t="shared" si="13"/>
        <v>1481.4747955127459</v>
      </c>
      <c r="R89" s="217">
        <f t="shared" si="19"/>
        <v>0.25</v>
      </c>
      <c r="S89" s="446">
        <f t="shared" si="14"/>
        <v>1111.1060966345594</v>
      </c>
      <c r="T89" s="447"/>
      <c r="U89" s="87"/>
      <c r="V89" s="287"/>
      <c r="W89" s="288">
        <f t="shared" si="15"/>
        <v>0</v>
      </c>
      <c r="X89" s="288">
        <f t="shared" si="20"/>
        <v>0</v>
      </c>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48"/>
    </row>
    <row r="90" spans="1:63" ht="21" x14ac:dyDescent="0.35">
      <c r="A90" s="19"/>
      <c r="B90" s="54">
        <f t="shared" si="21"/>
        <v>150</v>
      </c>
      <c r="C90" s="54">
        <f t="shared" si="16"/>
        <v>161</v>
      </c>
      <c r="D90" s="98">
        <f t="shared" si="22"/>
        <v>14</v>
      </c>
      <c r="E90" s="96">
        <f t="shared" si="9"/>
        <v>12</v>
      </c>
      <c r="F90" s="63">
        <f t="shared" si="23"/>
        <v>2027</v>
      </c>
      <c r="G90" s="98">
        <f t="shared" si="17"/>
        <v>14</v>
      </c>
      <c r="H90" s="19"/>
      <c r="I90" s="241">
        <f t="shared" si="25"/>
        <v>0</v>
      </c>
      <c r="J90" s="212" t="str">
        <f t="shared" si="26"/>
        <v>Estimated for 2027 (12 months)</v>
      </c>
      <c r="K90" s="213"/>
      <c r="L90" s="213"/>
      <c r="M90" s="444">
        <f t="shared" si="11"/>
        <v>5709.316229517779</v>
      </c>
      <c r="N90" s="445"/>
      <c r="O90" s="214">
        <f t="shared" si="12"/>
        <v>1070.4967930345836</v>
      </c>
      <c r="P90" s="218">
        <f t="shared" si="24"/>
        <v>0.1875</v>
      </c>
      <c r="Q90" s="216">
        <f t="shared" si="13"/>
        <v>1427.3290573794447</v>
      </c>
      <c r="R90" s="217">
        <f t="shared" si="19"/>
        <v>0.25</v>
      </c>
      <c r="S90" s="446">
        <f t="shared" si="14"/>
        <v>1070.4967930345836</v>
      </c>
      <c r="T90" s="447"/>
      <c r="U90" s="87"/>
      <c r="V90" s="287"/>
      <c r="W90" s="288">
        <f t="shared" si="15"/>
        <v>0</v>
      </c>
      <c r="X90" s="288">
        <f t="shared" si="20"/>
        <v>0</v>
      </c>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48"/>
    </row>
    <row r="91" spans="1:63" ht="21" x14ac:dyDescent="0.35">
      <c r="A91" s="19"/>
      <c r="B91" s="54">
        <f t="shared" si="21"/>
        <v>162</v>
      </c>
      <c r="C91" s="54">
        <f t="shared" si="16"/>
        <v>173</v>
      </c>
      <c r="D91" s="98">
        <f t="shared" si="22"/>
        <v>15</v>
      </c>
      <c r="E91" s="96">
        <f t="shared" si="9"/>
        <v>12</v>
      </c>
      <c r="F91" s="63">
        <f t="shared" si="23"/>
        <v>2028</v>
      </c>
      <c r="G91" s="98">
        <f t="shared" si="17"/>
        <v>15</v>
      </c>
      <c r="H91" s="19"/>
      <c r="I91" s="241">
        <f t="shared" si="25"/>
        <v>0</v>
      </c>
      <c r="J91" s="212" t="str">
        <f t="shared" si="26"/>
        <v>Estimated for 2028 (12 months)</v>
      </c>
      <c r="K91" s="213"/>
      <c r="L91" s="213"/>
      <c r="M91" s="444">
        <f t="shared" si="11"/>
        <v>5482.7834940384237</v>
      </c>
      <c r="N91" s="445"/>
      <c r="O91" s="214">
        <f t="shared" si="12"/>
        <v>1028.0219051322044</v>
      </c>
      <c r="P91" s="218">
        <f t="shared" si="24"/>
        <v>0.1875</v>
      </c>
      <c r="Q91" s="216">
        <f t="shared" si="13"/>
        <v>1370.6958735096059</v>
      </c>
      <c r="R91" s="217">
        <f t="shared" si="19"/>
        <v>0.25</v>
      </c>
      <c r="S91" s="446">
        <f t="shared" si="14"/>
        <v>1028.0219051322044</v>
      </c>
      <c r="T91" s="447"/>
      <c r="U91" s="87"/>
      <c r="V91" s="287"/>
      <c r="W91" s="288">
        <f t="shared" si="15"/>
        <v>0</v>
      </c>
      <c r="X91" s="288">
        <f t="shared" si="20"/>
        <v>0</v>
      </c>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48"/>
    </row>
    <row r="92" spans="1:63" ht="21" x14ac:dyDescent="0.35">
      <c r="A92" s="19"/>
      <c r="B92" s="54">
        <f t="shared" si="21"/>
        <v>174</v>
      </c>
      <c r="C92" s="54">
        <f t="shared" si="16"/>
        <v>185</v>
      </c>
      <c r="D92" s="98">
        <f t="shared" si="22"/>
        <v>16</v>
      </c>
      <c r="E92" s="96">
        <f t="shared" si="9"/>
        <v>12</v>
      </c>
      <c r="F92" s="63">
        <f t="shared" si="23"/>
        <v>2029</v>
      </c>
      <c r="G92" s="98">
        <f t="shared" si="17"/>
        <v>16</v>
      </c>
      <c r="H92" s="19"/>
      <c r="I92" s="241">
        <f t="shared" si="25"/>
        <v>0</v>
      </c>
      <c r="J92" s="212" t="str">
        <f t="shared" si="26"/>
        <v>Estimated for 2029 (12 months)</v>
      </c>
      <c r="K92" s="213"/>
      <c r="L92" s="213"/>
      <c r="M92" s="444">
        <f t="shared" si="11"/>
        <v>5245.8438843251806</v>
      </c>
      <c r="N92" s="445"/>
      <c r="O92" s="214">
        <f t="shared" si="12"/>
        <v>983.59572831097137</v>
      </c>
      <c r="P92" s="218">
        <f t="shared" si="24"/>
        <v>0.1875</v>
      </c>
      <c r="Q92" s="216">
        <f t="shared" si="13"/>
        <v>1311.4609710812952</v>
      </c>
      <c r="R92" s="217">
        <f t="shared" si="19"/>
        <v>0.25</v>
      </c>
      <c r="S92" s="446">
        <f t="shared" si="14"/>
        <v>983.59572831097137</v>
      </c>
      <c r="T92" s="447"/>
      <c r="U92" s="87"/>
      <c r="V92" s="287"/>
      <c r="W92" s="288">
        <f t="shared" si="15"/>
        <v>0</v>
      </c>
      <c r="X92" s="288">
        <f t="shared" si="20"/>
        <v>0</v>
      </c>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48"/>
    </row>
    <row r="93" spans="1:63" ht="21" x14ac:dyDescent="0.35">
      <c r="A93" s="19"/>
      <c r="B93" s="54">
        <f t="shared" si="21"/>
        <v>186</v>
      </c>
      <c r="C93" s="54">
        <f t="shared" si="16"/>
        <v>197</v>
      </c>
      <c r="D93" s="98">
        <f t="shared" si="22"/>
        <v>17</v>
      </c>
      <c r="E93" s="96">
        <f t="shared" si="9"/>
        <v>12</v>
      </c>
      <c r="F93" s="63">
        <f t="shared" si="23"/>
        <v>2030</v>
      </c>
      <c r="G93" s="98">
        <f t="shared" si="17"/>
        <v>17</v>
      </c>
      <c r="H93" s="19"/>
      <c r="I93" s="241">
        <f t="shared" si="25"/>
        <v>-5.6843418860808015E-14</v>
      </c>
      <c r="J93" s="219" t="str">
        <f t="shared" si="26"/>
        <v>Estimated for 2030 (12 months)</v>
      </c>
      <c r="K93" s="213"/>
      <c r="L93" s="213"/>
      <c r="M93" s="444">
        <f t="shared" si="11"/>
        <v>4998.0193103965257</v>
      </c>
      <c r="N93" s="445"/>
      <c r="O93" s="214">
        <f t="shared" si="12"/>
        <v>937.12862069934863</v>
      </c>
      <c r="P93" s="218">
        <f t="shared" si="24"/>
        <v>0.1875</v>
      </c>
      <c r="Q93" s="216">
        <f t="shared" si="13"/>
        <v>1249.5048275991314</v>
      </c>
      <c r="R93" s="217">
        <f t="shared" si="19"/>
        <v>0.25</v>
      </c>
      <c r="S93" s="446">
        <f t="shared" si="14"/>
        <v>937.12862069934863</v>
      </c>
      <c r="T93" s="447"/>
      <c r="U93" s="87"/>
      <c r="V93" s="287"/>
      <c r="W93" s="288">
        <f t="shared" si="15"/>
        <v>0</v>
      </c>
      <c r="X93" s="288">
        <f t="shared" si="20"/>
        <v>-5.6843418860808015E-14</v>
      </c>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48"/>
    </row>
    <row r="94" spans="1:63" ht="21" x14ac:dyDescent="0.35">
      <c r="A94" s="19"/>
      <c r="B94" s="54">
        <f t="shared" si="21"/>
        <v>198</v>
      </c>
      <c r="C94" s="54">
        <f t="shared" si="16"/>
        <v>209</v>
      </c>
      <c r="D94" s="98">
        <f t="shared" si="22"/>
        <v>18</v>
      </c>
      <c r="E94" s="96">
        <f t="shared" si="9"/>
        <v>12</v>
      </c>
      <c r="F94" s="63">
        <f t="shared" si="23"/>
        <v>2031</v>
      </c>
      <c r="G94" s="98">
        <f t="shared" si="17"/>
        <v>18</v>
      </c>
      <c r="H94" s="19"/>
      <c r="I94" s="241">
        <f t="shared" si="25"/>
        <v>5.6843418860808015E-14</v>
      </c>
      <c r="J94" s="219" t="str">
        <f t="shared" si="26"/>
        <v>Estimated for 2031 (12 months)</v>
      </c>
      <c r="K94" s="213"/>
      <c r="L94" s="213"/>
      <c r="M94" s="444">
        <f t="shared" si="11"/>
        <v>4738.8097189008286</v>
      </c>
      <c r="N94" s="445"/>
      <c r="O94" s="214">
        <f t="shared" si="12"/>
        <v>888.5268222939053</v>
      </c>
      <c r="P94" s="218">
        <f t="shared" si="24"/>
        <v>0.1875</v>
      </c>
      <c r="Q94" s="216">
        <f t="shared" si="13"/>
        <v>1184.7024297252071</v>
      </c>
      <c r="R94" s="217">
        <f t="shared" si="19"/>
        <v>0.25</v>
      </c>
      <c r="S94" s="446">
        <f t="shared" si="14"/>
        <v>888.5268222939053</v>
      </c>
      <c r="T94" s="447"/>
      <c r="U94" s="87"/>
      <c r="V94" s="287"/>
      <c r="W94" s="288">
        <f t="shared" si="15"/>
        <v>0</v>
      </c>
      <c r="X94" s="288">
        <f t="shared" si="20"/>
        <v>5.6843418860808015E-14</v>
      </c>
      <c r="Y94" s="148"/>
      <c r="Z94" s="148"/>
      <c r="AA94" s="148"/>
      <c r="AB94" s="148"/>
      <c r="AC94" s="148"/>
      <c r="AD94" s="148"/>
      <c r="AE94" s="148"/>
      <c r="AF94" s="148"/>
      <c r="AG94" s="148"/>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c r="BI94" s="148"/>
      <c r="BJ94" s="148"/>
      <c r="BK94" s="148"/>
    </row>
    <row r="95" spans="1:63" ht="21" x14ac:dyDescent="0.35">
      <c r="A95" s="19"/>
      <c r="B95" s="54">
        <f t="shared" si="21"/>
        <v>210</v>
      </c>
      <c r="C95" s="54">
        <f t="shared" si="16"/>
        <v>221</v>
      </c>
      <c r="D95" s="98">
        <f t="shared" si="22"/>
        <v>19</v>
      </c>
      <c r="E95" s="96">
        <f t="shared" si="9"/>
        <v>12</v>
      </c>
      <c r="F95" s="63">
        <f t="shared" si="23"/>
        <v>2032</v>
      </c>
      <c r="G95" s="98">
        <f t="shared" si="17"/>
        <v>19</v>
      </c>
      <c r="H95" s="19"/>
      <c r="I95" s="241">
        <f t="shared" si="25"/>
        <v>0</v>
      </c>
      <c r="J95" s="219" t="str">
        <f t="shared" si="26"/>
        <v>Estimated for 2032 (12 months)</v>
      </c>
      <c r="K95" s="213"/>
      <c r="L95" s="213"/>
      <c r="M95" s="444">
        <f t="shared" si="11"/>
        <v>4467.6920841229767</v>
      </c>
      <c r="N95" s="445"/>
      <c r="O95" s="214">
        <f t="shared" si="12"/>
        <v>837.69226577305812</v>
      </c>
      <c r="P95" s="218">
        <f t="shared" si="24"/>
        <v>0.1875</v>
      </c>
      <c r="Q95" s="216">
        <f t="shared" si="13"/>
        <v>1116.9230210307442</v>
      </c>
      <c r="R95" s="217">
        <f t="shared" si="19"/>
        <v>0.25</v>
      </c>
      <c r="S95" s="446">
        <f t="shared" si="14"/>
        <v>837.69226577305812</v>
      </c>
      <c r="T95" s="447"/>
      <c r="U95" s="87"/>
      <c r="V95" s="287"/>
      <c r="W95" s="288">
        <f t="shared" si="15"/>
        <v>0</v>
      </c>
      <c r="X95" s="288">
        <f t="shared" si="20"/>
        <v>0</v>
      </c>
      <c r="Y95" s="148"/>
      <c r="Z95" s="148"/>
      <c r="AA95" s="148"/>
      <c r="AB95" s="148"/>
      <c r="AC95" s="148"/>
      <c r="AD95" s="148"/>
      <c r="AE95" s="148"/>
      <c r="AF95" s="148"/>
      <c r="AG95" s="148"/>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c r="BI95" s="148"/>
      <c r="BJ95" s="148"/>
      <c r="BK95" s="148"/>
    </row>
    <row r="96" spans="1:63" ht="21" x14ac:dyDescent="0.35">
      <c r="A96" s="19"/>
      <c r="B96" s="54">
        <f t="shared" si="21"/>
        <v>222</v>
      </c>
      <c r="C96" s="54">
        <f t="shared" si="16"/>
        <v>233</v>
      </c>
      <c r="D96" s="98">
        <f t="shared" si="22"/>
        <v>20</v>
      </c>
      <c r="E96" s="96">
        <f t="shared" si="9"/>
        <v>12</v>
      </c>
      <c r="F96" s="63">
        <f t="shared" si="23"/>
        <v>2033</v>
      </c>
      <c r="G96" s="98">
        <f t="shared" si="17"/>
        <v>20</v>
      </c>
      <c r="H96" s="19"/>
      <c r="I96" s="241">
        <f t="shared" si="25"/>
        <v>-5.6843418860808015E-14</v>
      </c>
      <c r="J96" s="219" t="str">
        <f t="shared" si="26"/>
        <v>Estimated for 2033 (12 months)</v>
      </c>
      <c r="K96" s="213"/>
      <c r="L96" s="213"/>
      <c r="M96" s="444">
        <f t="shared" si="11"/>
        <v>4184.119352638013</v>
      </c>
      <c r="N96" s="445"/>
      <c r="O96" s="214">
        <f t="shared" si="12"/>
        <v>784.52237861962749</v>
      </c>
      <c r="P96" s="218">
        <f t="shared" si="24"/>
        <v>0.1875</v>
      </c>
      <c r="Q96" s="216">
        <f t="shared" si="13"/>
        <v>1046.0298381595032</v>
      </c>
      <c r="R96" s="217">
        <f t="shared" si="19"/>
        <v>0.25</v>
      </c>
      <c r="S96" s="446">
        <f t="shared" si="14"/>
        <v>784.52237861962749</v>
      </c>
      <c r="T96" s="447"/>
      <c r="U96" s="87"/>
      <c r="V96" s="287"/>
      <c r="W96" s="288">
        <f t="shared" si="15"/>
        <v>0</v>
      </c>
      <c r="X96" s="288">
        <f t="shared" si="20"/>
        <v>-5.6843418860808015E-14</v>
      </c>
      <c r="Y96" s="148"/>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c r="BI96" s="148"/>
      <c r="BJ96" s="148"/>
      <c r="BK96" s="148"/>
    </row>
    <row r="97" spans="1:63" ht="21" x14ac:dyDescent="0.35">
      <c r="A97" s="19"/>
      <c r="B97" s="54">
        <f t="shared" si="21"/>
        <v>234</v>
      </c>
      <c r="C97" s="54">
        <f t="shared" si="16"/>
        <v>245</v>
      </c>
      <c r="D97" s="98">
        <f t="shared" si="22"/>
        <v>21</v>
      </c>
      <c r="E97" s="96">
        <f t="shared" si="9"/>
        <v>12</v>
      </c>
      <c r="F97" s="63">
        <f t="shared" si="23"/>
        <v>2034</v>
      </c>
      <c r="G97" s="98">
        <f t="shared" si="17"/>
        <v>21</v>
      </c>
      <c r="H97" s="19"/>
      <c r="I97" s="241">
        <f t="shared" si="25"/>
        <v>0</v>
      </c>
      <c r="J97" s="219" t="str">
        <f t="shared" si="26"/>
        <v>Estimated for 2034 (12 months)</v>
      </c>
      <c r="K97" s="213"/>
      <c r="L97" s="213"/>
      <c r="M97" s="444">
        <f t="shared" si="11"/>
        <v>3887.5193394823473</v>
      </c>
      <c r="N97" s="445"/>
      <c r="O97" s="214">
        <f t="shared" si="12"/>
        <v>728.90987615294011</v>
      </c>
      <c r="P97" s="218">
        <f t="shared" si="24"/>
        <v>0.1875</v>
      </c>
      <c r="Q97" s="216">
        <f t="shared" si="13"/>
        <v>971.87983487058682</v>
      </c>
      <c r="R97" s="217">
        <f t="shared" si="19"/>
        <v>0.25</v>
      </c>
      <c r="S97" s="446">
        <f t="shared" si="14"/>
        <v>728.90987615294011</v>
      </c>
      <c r="T97" s="447"/>
      <c r="U97" s="87"/>
      <c r="V97" s="287"/>
      <c r="W97" s="288">
        <f t="shared" si="15"/>
        <v>0</v>
      </c>
      <c r="X97" s="288">
        <f t="shared" si="20"/>
        <v>0</v>
      </c>
      <c r="Y97" s="148"/>
      <c r="Z97" s="148"/>
      <c r="AA97" s="148"/>
      <c r="AB97" s="148"/>
      <c r="AC97" s="148"/>
      <c r="AD97" s="148"/>
      <c r="AE97" s="148"/>
      <c r="AF97" s="148"/>
      <c r="AG97" s="148"/>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c r="BI97" s="148"/>
      <c r="BJ97" s="148"/>
      <c r="BK97" s="148"/>
    </row>
    <row r="98" spans="1:63" ht="21" x14ac:dyDescent="0.35">
      <c r="A98" s="19"/>
      <c r="B98" s="54">
        <f t="shared" si="21"/>
        <v>246</v>
      </c>
      <c r="C98" s="54">
        <f t="shared" si="16"/>
        <v>257</v>
      </c>
      <c r="D98" s="98">
        <f t="shared" si="22"/>
        <v>22</v>
      </c>
      <c r="E98" s="96">
        <f t="shared" si="9"/>
        <v>12</v>
      </c>
      <c r="F98" s="63">
        <f t="shared" si="23"/>
        <v>2035</v>
      </c>
      <c r="G98" s="98">
        <f t="shared" si="17"/>
        <v>22</v>
      </c>
      <c r="H98" s="19"/>
      <c r="I98" s="241">
        <f t="shared" si="25"/>
        <v>2.8421709430404007E-14</v>
      </c>
      <c r="J98" s="219" t="str">
        <f t="shared" si="26"/>
        <v>Estimated for 2035 (12 months)</v>
      </c>
      <c r="K98" s="213"/>
      <c r="L98" s="213"/>
      <c r="M98" s="444">
        <f t="shared" si="11"/>
        <v>3577.2935736152735</v>
      </c>
      <c r="N98" s="445"/>
      <c r="O98" s="214">
        <f t="shared" si="12"/>
        <v>670.74254505286376</v>
      </c>
      <c r="P98" s="218">
        <f t="shared" si="24"/>
        <v>0.1875</v>
      </c>
      <c r="Q98" s="216">
        <f t="shared" si="13"/>
        <v>894.32339340381839</v>
      </c>
      <c r="R98" s="217">
        <f t="shared" si="19"/>
        <v>0.25</v>
      </c>
      <c r="S98" s="446">
        <f t="shared" si="14"/>
        <v>670.74254505286376</v>
      </c>
      <c r="T98" s="447"/>
      <c r="U98" s="87"/>
      <c r="V98" s="287"/>
      <c r="W98" s="288">
        <f t="shared" si="15"/>
        <v>0</v>
      </c>
      <c r="X98" s="288">
        <f t="shared" si="20"/>
        <v>2.8421709430404007E-14</v>
      </c>
      <c r="Y98" s="148"/>
      <c r="Z98" s="148"/>
      <c r="AA98" s="148"/>
      <c r="AB98" s="148"/>
      <c r="AC98" s="148"/>
      <c r="AD98" s="148"/>
      <c r="AE98" s="148"/>
      <c r="AF98" s="148"/>
      <c r="AG98" s="148"/>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c r="BI98" s="148"/>
      <c r="BJ98" s="148"/>
      <c r="BK98" s="148"/>
    </row>
    <row r="99" spans="1:63" ht="21" x14ac:dyDescent="0.35">
      <c r="A99" s="19"/>
      <c r="B99" s="54">
        <f t="shared" si="21"/>
        <v>258</v>
      </c>
      <c r="C99" s="54">
        <f t="shared" si="16"/>
        <v>269</v>
      </c>
      <c r="D99" s="98">
        <f t="shared" si="22"/>
        <v>23</v>
      </c>
      <c r="E99" s="96">
        <f t="shared" si="9"/>
        <v>12</v>
      </c>
      <c r="F99" s="63">
        <f t="shared" si="23"/>
        <v>2036</v>
      </c>
      <c r="G99" s="98">
        <f t="shared" si="17"/>
        <v>23</v>
      </c>
      <c r="H99" s="19"/>
      <c r="I99" s="241">
        <f t="shared" si="25"/>
        <v>-2.8421709430404007E-14</v>
      </c>
      <c r="J99" s="219" t="str">
        <f t="shared" si="26"/>
        <v>Estimated for 2036 (12 months)</v>
      </c>
      <c r="K99" s="213"/>
      <c r="L99" s="213"/>
      <c r="M99" s="444">
        <f t="shared" si="11"/>
        <v>3252.8160903411813</v>
      </c>
      <c r="N99" s="445"/>
      <c r="O99" s="214">
        <f t="shared" si="12"/>
        <v>609.90301693897152</v>
      </c>
      <c r="P99" s="218">
        <f t="shared" si="24"/>
        <v>0.1875</v>
      </c>
      <c r="Q99" s="216">
        <f t="shared" si="13"/>
        <v>813.20402258529532</v>
      </c>
      <c r="R99" s="217">
        <f t="shared" si="19"/>
        <v>0.25</v>
      </c>
      <c r="S99" s="446">
        <f t="shared" si="14"/>
        <v>609.90301693897152</v>
      </c>
      <c r="T99" s="447"/>
      <c r="U99" s="87"/>
      <c r="V99" s="287"/>
      <c r="W99" s="288">
        <f t="shared" si="15"/>
        <v>0</v>
      </c>
      <c r="X99" s="288">
        <f t="shared" si="20"/>
        <v>-2.8421709430404007E-14</v>
      </c>
      <c r="Y99" s="148"/>
      <c r="Z99" s="148"/>
      <c r="AA99" s="148"/>
      <c r="AB99" s="148"/>
      <c r="AC99" s="148"/>
      <c r="AD99" s="148"/>
      <c r="AE99" s="148"/>
      <c r="AF99" s="148"/>
      <c r="AG99" s="148"/>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row>
    <row r="100" spans="1:63" ht="21" x14ac:dyDescent="0.35">
      <c r="A100" s="19"/>
      <c r="B100" s="54">
        <f t="shared" si="21"/>
        <v>270</v>
      </c>
      <c r="C100" s="54">
        <f t="shared" si="16"/>
        <v>281</v>
      </c>
      <c r="D100" s="98">
        <f t="shared" si="22"/>
        <v>24</v>
      </c>
      <c r="E100" s="96">
        <f t="shared" si="9"/>
        <v>12</v>
      </c>
      <c r="F100" s="63">
        <f t="shared" si="23"/>
        <v>2037</v>
      </c>
      <c r="G100" s="98">
        <f t="shared" si="17"/>
        <v>24</v>
      </c>
      <c r="H100" s="19"/>
      <c r="I100" s="241">
        <f t="shared" si="25"/>
        <v>0</v>
      </c>
      <c r="J100" s="219" t="str">
        <f t="shared" si="26"/>
        <v>Estimated for 2037 (12 months)</v>
      </c>
      <c r="K100" s="213"/>
      <c r="L100" s="213"/>
      <c r="M100" s="444">
        <f t="shared" si="11"/>
        <v>2913.4321682558675</v>
      </c>
      <c r="N100" s="445"/>
      <c r="O100" s="214">
        <f t="shared" si="12"/>
        <v>546.26853154797516</v>
      </c>
      <c r="P100" s="218">
        <f t="shared" si="24"/>
        <v>0.1875</v>
      </c>
      <c r="Q100" s="216">
        <f t="shared" si="13"/>
        <v>728.35804206396688</v>
      </c>
      <c r="R100" s="217">
        <f t="shared" si="19"/>
        <v>0.25</v>
      </c>
      <c r="S100" s="446">
        <f t="shared" si="14"/>
        <v>546.26853154797516</v>
      </c>
      <c r="T100" s="447"/>
      <c r="U100" s="87"/>
      <c r="V100" s="287"/>
      <c r="W100" s="288">
        <f t="shared" si="15"/>
        <v>0</v>
      </c>
      <c r="X100" s="288">
        <f t="shared" si="20"/>
        <v>0</v>
      </c>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row>
    <row r="101" spans="1:63" ht="21" x14ac:dyDescent="0.35">
      <c r="A101" s="19"/>
      <c r="B101" s="54">
        <f t="shared" si="21"/>
        <v>282</v>
      </c>
      <c r="C101" s="54">
        <f t="shared" si="16"/>
        <v>293</v>
      </c>
      <c r="D101" s="98">
        <f t="shared" si="22"/>
        <v>25</v>
      </c>
      <c r="E101" s="96">
        <f t="shared" si="9"/>
        <v>12</v>
      </c>
      <c r="F101" s="63">
        <f t="shared" si="23"/>
        <v>2038</v>
      </c>
      <c r="G101" s="98">
        <f t="shared" si="17"/>
        <v>25</v>
      </c>
      <c r="H101" s="19"/>
      <c r="I101" s="241">
        <f t="shared" si="25"/>
        <v>0</v>
      </c>
      <c r="J101" s="219" t="str">
        <f t="shared" si="26"/>
        <v>Estimated for 2038 (12 months)</v>
      </c>
      <c r="K101" s="213"/>
      <c r="L101" s="213"/>
      <c r="M101" s="444">
        <f t="shared" si="11"/>
        <v>2558.4570081683651</v>
      </c>
      <c r="N101" s="445"/>
      <c r="O101" s="214">
        <f t="shared" si="12"/>
        <v>479.71068903156845</v>
      </c>
      <c r="P101" s="218">
        <f t="shared" si="24"/>
        <v>0.1875</v>
      </c>
      <c r="Q101" s="216">
        <f t="shared" si="13"/>
        <v>639.61425204209127</v>
      </c>
      <c r="R101" s="217">
        <f t="shared" si="19"/>
        <v>0.25</v>
      </c>
      <c r="S101" s="446">
        <f t="shared" si="14"/>
        <v>479.71068903156845</v>
      </c>
      <c r="T101" s="447"/>
      <c r="U101" s="87"/>
      <c r="V101" s="287"/>
      <c r="W101" s="288">
        <f t="shared" si="15"/>
        <v>0</v>
      </c>
      <c r="X101" s="288">
        <f t="shared" si="20"/>
        <v>0</v>
      </c>
      <c r="Y101" s="148"/>
      <c r="Z101" s="148"/>
      <c r="AA101" s="148"/>
      <c r="AB101" s="148"/>
      <c r="AC101" s="148"/>
      <c r="AD101" s="148"/>
      <c r="AE101" s="148"/>
      <c r="AF101" s="148"/>
      <c r="AG101" s="148"/>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c r="BI101" s="148"/>
      <c r="BJ101" s="148"/>
      <c r="BK101" s="148"/>
    </row>
    <row r="102" spans="1:63" ht="21" x14ac:dyDescent="0.35">
      <c r="A102" s="19"/>
      <c r="B102" s="54">
        <f t="shared" si="21"/>
        <v>294</v>
      </c>
      <c r="C102" s="54">
        <f t="shared" si="16"/>
        <v>305</v>
      </c>
      <c r="D102" s="98">
        <f t="shared" si="22"/>
        <v>26</v>
      </c>
      <c r="E102" s="96">
        <f t="shared" si="9"/>
        <v>12</v>
      </c>
      <c r="F102" s="63">
        <f t="shared" si="23"/>
        <v>2039</v>
      </c>
      <c r="G102" s="98">
        <f t="shared" si="17"/>
        <v>26</v>
      </c>
      <c r="H102" s="19"/>
      <c r="I102" s="241">
        <f t="shared" si="25"/>
        <v>2.8421709430404007E-14</v>
      </c>
      <c r="J102" s="219" t="str">
        <f t="shared" si="26"/>
        <v>Estimated for 2039 (12 months)</v>
      </c>
      <c r="K102" s="213"/>
      <c r="L102" s="213"/>
      <c r="M102" s="444">
        <f t="shared" si="11"/>
        <v>2187.1743513326869</v>
      </c>
      <c r="N102" s="445"/>
      <c r="O102" s="214">
        <f t="shared" si="12"/>
        <v>410.09519087487877</v>
      </c>
      <c r="P102" s="218">
        <f t="shared" si="24"/>
        <v>0.1875</v>
      </c>
      <c r="Q102" s="216">
        <f t="shared" si="13"/>
        <v>546.79358783317173</v>
      </c>
      <c r="R102" s="217">
        <f t="shared" si="19"/>
        <v>0.25</v>
      </c>
      <c r="S102" s="446">
        <f t="shared" si="14"/>
        <v>410.09519087487877</v>
      </c>
      <c r="T102" s="447"/>
      <c r="U102" s="87"/>
      <c r="V102" s="287"/>
      <c r="W102" s="288">
        <f t="shared" si="15"/>
        <v>0</v>
      </c>
      <c r="X102" s="288">
        <f t="shared" si="20"/>
        <v>2.8421709430404007E-14</v>
      </c>
      <c r="Y102" s="148"/>
      <c r="Z102" s="148"/>
      <c r="AA102" s="148"/>
      <c r="AB102" s="148"/>
      <c r="AC102" s="148"/>
      <c r="AD102" s="148"/>
      <c r="AE102" s="148"/>
      <c r="AF102" s="148"/>
      <c r="AG102" s="148"/>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c r="BI102" s="148"/>
      <c r="BJ102" s="148"/>
      <c r="BK102" s="148"/>
    </row>
    <row r="103" spans="1:63" ht="21" x14ac:dyDescent="0.35">
      <c r="A103" s="19"/>
      <c r="B103" s="54">
        <f t="shared" si="21"/>
        <v>306</v>
      </c>
      <c r="C103" s="54">
        <f t="shared" si="16"/>
        <v>317</v>
      </c>
      <c r="D103" s="98">
        <f t="shared" si="22"/>
        <v>27</v>
      </c>
      <c r="E103" s="96">
        <f t="shared" si="9"/>
        <v>12</v>
      </c>
      <c r="F103" s="63">
        <f t="shared" si="23"/>
        <v>2040</v>
      </c>
      <c r="G103" s="98">
        <f t="shared" si="17"/>
        <v>27</v>
      </c>
      <c r="H103" s="19"/>
      <c r="I103" s="241">
        <f t="shared" si="25"/>
        <v>-2.8421709430404007E-14</v>
      </c>
      <c r="J103" s="219" t="str">
        <f t="shared" si="26"/>
        <v>Estimated for 2040 (12 months)</v>
      </c>
      <c r="K103" s="213"/>
      <c r="L103" s="213"/>
      <c r="M103" s="444">
        <f t="shared" si="11"/>
        <v>1798.8350342013732</v>
      </c>
      <c r="N103" s="445"/>
      <c r="O103" s="214">
        <f t="shared" si="12"/>
        <v>337.28156891275751</v>
      </c>
      <c r="P103" s="218">
        <f t="shared" si="24"/>
        <v>0.18750000000000003</v>
      </c>
      <c r="Q103" s="216">
        <f t="shared" si="13"/>
        <v>449.7087585503433</v>
      </c>
      <c r="R103" s="217">
        <f t="shared" si="19"/>
        <v>0.25</v>
      </c>
      <c r="S103" s="446">
        <f t="shared" si="14"/>
        <v>337.28156891275751</v>
      </c>
      <c r="T103" s="447"/>
      <c r="U103" s="87"/>
      <c r="V103" s="287"/>
      <c r="W103" s="288">
        <f t="shared" si="15"/>
        <v>0</v>
      </c>
      <c r="X103" s="288">
        <f t="shared" si="20"/>
        <v>-2.8421709430404007E-14</v>
      </c>
      <c r="Y103" s="148"/>
      <c r="Z103" s="148"/>
      <c r="AA103" s="148"/>
      <c r="AB103" s="148"/>
      <c r="AC103" s="148"/>
      <c r="AD103" s="148"/>
      <c r="AE103" s="148"/>
      <c r="AF103" s="148"/>
      <c r="AG103" s="148"/>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c r="BI103" s="148"/>
      <c r="BJ103" s="148"/>
      <c r="BK103" s="148"/>
    </row>
    <row r="104" spans="1:63" ht="21" x14ac:dyDescent="0.35">
      <c r="A104" s="19"/>
      <c r="B104" s="54">
        <f t="shared" si="21"/>
        <v>318</v>
      </c>
      <c r="C104" s="54">
        <f t="shared" si="16"/>
        <v>329</v>
      </c>
      <c r="D104" s="98">
        <f>D103+1</f>
        <v>28</v>
      </c>
      <c r="E104" s="96">
        <f t="shared" si="9"/>
        <v>12</v>
      </c>
      <c r="F104" s="63">
        <f>F103+1</f>
        <v>2041</v>
      </c>
      <c r="G104" s="98">
        <f t="shared" si="17"/>
        <v>28</v>
      </c>
      <c r="H104" s="19"/>
      <c r="I104" s="241">
        <f>IF(G104="","",SUM(W104)+SUM(X104))</f>
        <v>1.4210854715202004E-14</v>
      </c>
      <c r="J104" s="219" t="str">
        <f>IF($G104="","",IF($F$75="YES",CONCATENATE("Estimated for Year ",$G104," (12 months)"),CONCATENATE("Estimated for ",$F104," (",$E104,IF(E104=1," month"," months"),")")))</f>
        <v>Estimated for 2041 (12 months)</v>
      </c>
      <c r="K104" s="213"/>
      <c r="L104" s="213"/>
      <c r="M104" s="444">
        <f t="shared" si="11"/>
        <v>1392.6554767846635</v>
      </c>
      <c r="N104" s="445"/>
      <c r="O104" s="214">
        <f t="shared" si="12"/>
        <v>261.12290189712439</v>
      </c>
      <c r="P104" s="218">
        <f t="shared" si="24"/>
        <v>0.1875</v>
      </c>
      <c r="Q104" s="216">
        <f t="shared" si="13"/>
        <v>348.16386919616588</v>
      </c>
      <c r="R104" s="217">
        <f t="shared" si="19"/>
        <v>0.25</v>
      </c>
      <c r="S104" s="446">
        <f t="shared" si="14"/>
        <v>261.12290189712439</v>
      </c>
      <c r="T104" s="447"/>
      <c r="U104" s="87"/>
      <c r="V104" s="287"/>
      <c r="W104" s="288">
        <f t="shared" si="15"/>
        <v>0</v>
      </c>
      <c r="X104" s="288">
        <f t="shared" si="20"/>
        <v>1.4210854715202004E-14</v>
      </c>
      <c r="Y104" s="148"/>
      <c r="Z104" s="148"/>
      <c r="AA104" s="148"/>
      <c r="AB104" s="148"/>
      <c r="AC104" s="148"/>
      <c r="AD104" s="148"/>
      <c r="AE104" s="148"/>
      <c r="AF104" s="148"/>
      <c r="AG104" s="148"/>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c r="BI104" s="148"/>
      <c r="BJ104" s="148"/>
      <c r="BK104" s="148"/>
    </row>
    <row r="105" spans="1:63" ht="21" x14ac:dyDescent="0.35">
      <c r="A105" s="19"/>
      <c r="B105" s="54">
        <f t="shared" si="21"/>
        <v>330</v>
      </c>
      <c r="C105" s="54">
        <f t="shared" si="16"/>
        <v>341</v>
      </c>
      <c r="D105" s="98">
        <f>D104+1</f>
        <v>29</v>
      </c>
      <c r="E105" s="96">
        <f t="shared" si="9"/>
        <v>12</v>
      </c>
      <c r="F105" s="63">
        <f>F104+1</f>
        <v>2042</v>
      </c>
      <c r="G105" s="98">
        <f t="shared" si="17"/>
        <v>29</v>
      </c>
      <c r="H105" s="19"/>
      <c r="I105" s="241">
        <f>IF(G105="","",SUM(W105)+SUM(X105))</f>
        <v>0</v>
      </c>
      <c r="J105" s="219" t="str">
        <f>IF($G105="","",IF($F$75="YES",CONCATENATE("Estimated for Year ",$G105," (12 months)"),CONCATENATE("Estimated for ",$F105," (",$E105,IF(E105=1," month"," months"),")")))</f>
        <v>Estimated for 2042 (12 months)</v>
      </c>
      <c r="K105" s="213"/>
      <c r="L105" s="213"/>
      <c r="M105" s="444">
        <f t="shared" si="11"/>
        <v>967.81610156516672</v>
      </c>
      <c r="N105" s="445"/>
      <c r="O105" s="214">
        <f t="shared" si="12"/>
        <v>181.46551904346876</v>
      </c>
      <c r="P105" s="218">
        <f t="shared" si="24"/>
        <v>0.1875</v>
      </c>
      <c r="Q105" s="216">
        <f t="shared" si="13"/>
        <v>241.95402539129168</v>
      </c>
      <c r="R105" s="217">
        <f t="shared" si="19"/>
        <v>0.25</v>
      </c>
      <c r="S105" s="446">
        <f t="shared" si="14"/>
        <v>181.46551904346876</v>
      </c>
      <c r="T105" s="447"/>
      <c r="U105" s="87"/>
      <c r="V105" s="287"/>
      <c r="W105" s="288">
        <f t="shared" si="15"/>
        <v>0</v>
      </c>
      <c r="X105" s="288">
        <f t="shared" si="20"/>
        <v>0</v>
      </c>
      <c r="Y105" s="148"/>
      <c r="Z105" s="148"/>
      <c r="AA105" s="148"/>
      <c r="AB105" s="148"/>
      <c r="AC105" s="148"/>
      <c r="AD105" s="148"/>
      <c r="AE105" s="148"/>
      <c r="AF105" s="148"/>
      <c r="AG105" s="148"/>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c r="BI105" s="148"/>
      <c r="BJ105" s="148"/>
      <c r="BK105" s="148"/>
    </row>
    <row r="106" spans="1:63" ht="21" x14ac:dyDescent="0.35">
      <c r="A106" s="19"/>
      <c r="B106" s="54">
        <f t="shared" si="21"/>
        <v>342</v>
      </c>
      <c r="C106" s="54">
        <f t="shared" si="16"/>
        <v>353</v>
      </c>
      <c r="D106" s="98">
        <f>D105+1</f>
        <v>30</v>
      </c>
      <c r="E106" s="96">
        <f t="shared" si="9"/>
        <v>12</v>
      </c>
      <c r="F106" s="63">
        <f>F105+1</f>
        <v>2043</v>
      </c>
      <c r="G106" s="98">
        <f t="shared" si="17"/>
        <v>30</v>
      </c>
      <c r="H106" s="19"/>
      <c r="I106" s="241">
        <f>IF(G106="","",SUM(W106)+SUM(X106))</f>
        <v>0</v>
      </c>
      <c r="J106" s="219" t="str">
        <f>IF($G106="","",IF($F$75="YES",CONCATENATE("Estimated for Year ",$G106," (12 months)"),CONCATENATE("Estimated for ",$F106," (",$E106,IF(E106=1," month"," months"),")")))</f>
        <v>Estimated for 2043 (12 months)</v>
      </c>
      <c r="K106" s="213"/>
      <c r="L106" s="213"/>
      <c r="M106" s="444">
        <f t="shared" si="11"/>
        <v>523.45967977772966</v>
      </c>
      <c r="N106" s="445"/>
      <c r="O106" s="214">
        <f t="shared" si="12"/>
        <v>98.148689958324312</v>
      </c>
      <c r="P106" s="218">
        <f t="shared" si="24"/>
        <v>0.1875</v>
      </c>
      <c r="Q106" s="216">
        <f t="shared" si="13"/>
        <v>130.86491994443242</v>
      </c>
      <c r="R106" s="217">
        <f t="shared" si="19"/>
        <v>0.25</v>
      </c>
      <c r="S106" s="446">
        <f t="shared" si="14"/>
        <v>98.148689958324312</v>
      </c>
      <c r="T106" s="447"/>
      <c r="U106" s="87"/>
      <c r="V106" s="287"/>
      <c r="W106" s="288">
        <f t="shared" si="15"/>
        <v>0</v>
      </c>
      <c r="X106" s="288">
        <f t="shared" si="20"/>
        <v>0</v>
      </c>
      <c r="Y106" s="148"/>
      <c r="Z106" s="148"/>
      <c r="AA106" s="148"/>
      <c r="AB106" s="148"/>
      <c r="AC106" s="148"/>
      <c r="AD106" s="148"/>
      <c r="AE106" s="148"/>
      <c r="AF106" s="148"/>
      <c r="AG106" s="148"/>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c r="BI106" s="148"/>
      <c r="BJ106" s="148"/>
      <c r="BK106" s="148"/>
    </row>
    <row r="107" spans="1:63" ht="21.75" thickBot="1" x14ac:dyDescent="0.4">
      <c r="A107" s="19"/>
      <c r="B107" s="54">
        <f t="shared" si="21"/>
        <v>354</v>
      </c>
      <c r="C107" s="54">
        <f t="shared" si="16"/>
        <v>360</v>
      </c>
      <c r="D107" s="98">
        <f>D106+1</f>
        <v>31</v>
      </c>
      <c r="E107" s="96">
        <f t="shared" si="9"/>
        <v>7</v>
      </c>
      <c r="F107" s="63">
        <f>F106+1</f>
        <v>2044</v>
      </c>
      <c r="G107" s="98">
        <f t="shared" si="17"/>
        <v>31</v>
      </c>
      <c r="H107" s="19"/>
      <c r="I107" s="241">
        <f>IF(G107="","",SUM(W107)+SUM(X107))</f>
        <v>1.7763568394002505E-15</v>
      </c>
      <c r="J107" s="219" t="str">
        <f>IF($G107="","",IF($F$75="YES",CONCATENATE("Estimated for Year ",$G107," (12 months)"),CONCATENATE("Estimated for ",$F107," (",$E107,IF(E107=1," month"," months"),")")))</f>
        <v>Estimated for 2044 (7 months)</v>
      </c>
      <c r="K107" s="213"/>
      <c r="L107" s="213"/>
      <c r="M107" s="444">
        <f t="shared" si="11"/>
        <v>92.065751236015757</v>
      </c>
      <c r="N107" s="445"/>
      <c r="O107" s="214">
        <f t="shared" si="12"/>
        <v>17.262328356752953</v>
      </c>
      <c r="P107" s="218">
        <f t="shared" si="24"/>
        <v>0.18749999999999997</v>
      </c>
      <c r="Q107" s="216">
        <f t="shared" si="13"/>
        <v>23.016437809003939</v>
      </c>
      <c r="R107" s="217">
        <f t="shared" si="19"/>
        <v>0.25</v>
      </c>
      <c r="S107" s="446">
        <f t="shared" si="14"/>
        <v>17.262328356752953</v>
      </c>
      <c r="T107" s="447"/>
      <c r="U107" s="87"/>
      <c r="V107" s="287"/>
      <c r="W107" s="288">
        <f t="shared" si="15"/>
        <v>0</v>
      </c>
      <c r="X107" s="288">
        <f t="shared" si="20"/>
        <v>1.7763568394002505E-15</v>
      </c>
      <c r="Y107" s="148"/>
      <c r="Z107" s="148"/>
      <c r="AA107" s="148"/>
      <c r="AB107" s="148"/>
      <c r="AC107" s="148"/>
      <c r="AD107" s="148"/>
      <c r="AE107" s="148"/>
      <c r="AF107" s="148"/>
      <c r="AG107" s="148"/>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c r="BI107" s="148"/>
      <c r="BJ107" s="148"/>
      <c r="BK107" s="148"/>
    </row>
    <row r="108" spans="1:63" ht="21.75" hidden="1" thickBot="1" x14ac:dyDescent="0.4">
      <c r="A108" s="19"/>
      <c r="C108" s="12"/>
      <c r="D108" s="98"/>
      <c r="E108" s="96"/>
      <c r="F108" s="63"/>
      <c r="G108" s="98"/>
      <c r="H108" s="19"/>
      <c r="I108" s="241">
        <f>SUM(W109)+SUM(X109)</f>
        <v>-1.8189894035458565E-12</v>
      </c>
      <c r="J108" s="220"/>
      <c r="K108" s="221"/>
      <c r="L108" s="222"/>
      <c r="M108" s="448"/>
      <c r="N108" s="449"/>
      <c r="O108" s="223" t="str">
        <f t="shared" si="12"/>
        <v/>
      </c>
      <c r="P108" s="224" t="str">
        <f t="shared" si="24"/>
        <v/>
      </c>
      <c r="Q108" s="225" t="str">
        <f t="shared" si="13"/>
        <v/>
      </c>
      <c r="R108" s="226" t="str">
        <f t="shared" si="19"/>
        <v/>
      </c>
      <c r="S108" s="450"/>
      <c r="T108" s="451"/>
      <c r="U108" s="87"/>
      <c r="V108" s="287"/>
      <c r="W108" s="288"/>
      <c r="X108" s="288" t="str">
        <f t="shared" si="20"/>
        <v/>
      </c>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row>
    <row r="109" spans="1:63" ht="27" thickBot="1" x14ac:dyDescent="0.45">
      <c r="A109" s="19"/>
      <c r="C109" s="12"/>
      <c r="D109" s="12"/>
      <c r="E109" s="96">
        <f>SUM(E77:E108)</f>
        <v>360</v>
      </c>
      <c r="F109" s="12"/>
      <c r="G109" s="96">
        <f>IF(F40="NO",SUMIF(G77:G108,CONCATENATE("&lt;=",MAX(G77:G108)),E77:E108),MAX(G77:G108)*12)</f>
        <v>360</v>
      </c>
      <c r="H109" s="19"/>
      <c r="I109" s="253">
        <f>IF(OR(SUM(E75)=0,E75=""),"N/A",G48-E109)</f>
        <v>0</v>
      </c>
      <c r="J109" s="227" t="s">
        <v>83</v>
      </c>
      <c r="K109" s="228"/>
      <c r="L109" s="228"/>
      <c r="M109" s="430">
        <f>SUM(M77:M108)</f>
        <v>144211.74519030485</v>
      </c>
      <c r="N109" s="431"/>
      <c r="O109" s="432">
        <f>SUM(O77:O108)</f>
        <v>27039.702223182161</v>
      </c>
      <c r="P109" s="433"/>
      <c r="Q109" s="434">
        <f>SUM(Q77:Q108)</f>
        <v>36052.936297576212</v>
      </c>
      <c r="R109" s="431"/>
      <c r="S109" s="435">
        <f>SUM(S77:S108)</f>
        <v>27039.702223182161</v>
      </c>
      <c r="T109" s="433"/>
      <c r="U109" s="87"/>
      <c r="V109" s="290"/>
      <c r="W109" s="288">
        <f>IF($F$74=$C$72,O109-Q109,O109-S109)</f>
        <v>0</v>
      </c>
      <c r="X109" s="288">
        <f t="shared" si="20"/>
        <v>-1.8189894035458565E-12</v>
      </c>
      <c r="Y109" s="148"/>
      <c r="Z109" s="288"/>
      <c r="AA109" s="148"/>
      <c r="AB109" s="148"/>
      <c r="AC109" s="148"/>
      <c r="AD109" s="148"/>
      <c r="AE109" s="148"/>
      <c r="AF109" s="148"/>
      <c r="AG109" s="148"/>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c r="BI109" s="148"/>
      <c r="BJ109" s="148"/>
      <c r="BK109" s="148"/>
    </row>
    <row r="110" spans="1:63" ht="27" thickBot="1" x14ac:dyDescent="0.45">
      <c r="A110" s="19"/>
      <c r="C110" s="12"/>
      <c r="D110" s="12"/>
      <c r="E110" s="96"/>
      <c r="F110" s="12"/>
      <c r="G110" s="96"/>
      <c r="H110" s="19"/>
      <c r="I110" s="254">
        <f>IF(AND(M1=C72,O113=0),M33-O110,0)+IF(AND(Q113=0),((Q110-M33)+(S110-(M33*(1-S1)))))</f>
        <v>0</v>
      </c>
      <c r="J110" s="229" t="s">
        <v>84</v>
      </c>
      <c r="K110" s="230"/>
      <c r="L110" s="230"/>
      <c r="M110" s="436"/>
      <c r="N110" s="437"/>
      <c r="O110" s="438">
        <f>O109/M109</f>
        <v>0.1875</v>
      </c>
      <c r="P110" s="439"/>
      <c r="Q110" s="440">
        <f>Q109/M109</f>
        <v>0.25</v>
      </c>
      <c r="R110" s="441"/>
      <c r="S110" s="442">
        <f>S109/M109</f>
        <v>0.1875</v>
      </c>
      <c r="T110" s="443"/>
      <c r="U110" s="87"/>
      <c r="V110" s="290"/>
      <c r="W110" s="288"/>
      <c r="X110" s="288"/>
      <c r="Y110" s="148"/>
      <c r="Z110" s="288"/>
      <c r="AA110" s="148"/>
      <c r="AB110" s="148"/>
      <c r="AC110" s="148"/>
      <c r="AD110" s="148"/>
      <c r="AE110" s="148"/>
      <c r="AF110" s="148"/>
      <c r="AG110" s="148"/>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c r="BI110" s="148"/>
      <c r="BJ110" s="148"/>
      <c r="BK110" s="148"/>
    </row>
    <row r="111" spans="1:63" ht="8.1" customHeight="1" x14ac:dyDescent="0.25">
      <c r="A111" s="19"/>
      <c r="C111" s="12"/>
      <c r="D111" s="12"/>
      <c r="E111" s="12"/>
      <c r="F111" s="12"/>
      <c r="G111" s="12"/>
      <c r="H111" s="19"/>
      <c r="I111" s="241">
        <f>S109-(Q109*(1-H63))</f>
        <v>0</v>
      </c>
      <c r="J111" s="177"/>
      <c r="K111" s="177"/>
      <c r="L111" s="177"/>
      <c r="M111" s="177"/>
      <c r="N111" s="177"/>
      <c r="O111" s="177"/>
      <c r="P111" s="148"/>
      <c r="Q111" s="177"/>
      <c r="R111" s="177"/>
      <c r="S111" s="301"/>
      <c r="T111" s="301"/>
      <c r="U111" s="301"/>
      <c r="V111" s="148"/>
      <c r="W111" s="148"/>
      <c r="X111" s="148"/>
      <c r="Y111" s="148"/>
      <c r="Z111" s="148"/>
      <c r="AA111" s="148"/>
      <c r="AB111" s="148"/>
      <c r="AC111" s="148"/>
      <c r="AD111" s="148"/>
      <c r="AE111" s="148"/>
      <c r="AF111" s="148"/>
      <c r="AG111" s="148"/>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c r="BI111" s="148"/>
      <c r="BJ111" s="148"/>
      <c r="BK111" s="148"/>
    </row>
    <row r="112" spans="1:63" hidden="1" x14ac:dyDescent="0.25">
      <c r="A112" s="19"/>
      <c r="C112" s="12"/>
      <c r="D112" s="12"/>
      <c r="E112" s="12"/>
      <c r="F112" s="12"/>
      <c r="G112" s="12"/>
      <c r="H112" s="19"/>
      <c r="I112" s="253"/>
      <c r="J112" s="177"/>
      <c r="K112" s="177"/>
      <c r="L112" s="177"/>
      <c r="M112" s="177"/>
      <c r="N112" s="177"/>
      <c r="O112" s="259"/>
      <c r="P112" s="148"/>
      <c r="Q112" s="177"/>
      <c r="R112" s="177"/>
      <c r="S112" s="301"/>
      <c r="T112" s="301"/>
      <c r="U112" s="301"/>
      <c r="V112" s="148"/>
      <c r="W112" s="148"/>
      <c r="X112" s="148"/>
      <c r="Y112" s="148"/>
      <c r="Z112" s="148"/>
      <c r="AA112" s="148"/>
      <c r="AB112" s="148"/>
      <c r="AC112" s="148"/>
      <c r="AD112" s="148"/>
      <c r="AE112" s="148"/>
      <c r="AF112" s="148"/>
      <c r="AG112" s="148"/>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c r="BI112" s="148"/>
      <c r="BJ112" s="148"/>
      <c r="BK112" s="148"/>
    </row>
    <row r="113" spans="1:63" hidden="1" x14ac:dyDescent="0.25">
      <c r="A113" s="19"/>
      <c r="B113" s="99"/>
      <c r="C113" s="99"/>
      <c r="D113" s="99"/>
      <c r="E113" s="99"/>
      <c r="F113" s="99"/>
      <c r="G113" s="99"/>
      <c r="H113" s="19"/>
      <c r="I113" s="252"/>
      <c r="J113" s="177"/>
      <c r="K113" s="177"/>
      <c r="L113" s="177"/>
      <c r="M113" s="177"/>
      <c r="N113" s="177"/>
      <c r="O113" s="302">
        <f>COUNTIF(O78:O108,$C$118)</f>
        <v>0</v>
      </c>
      <c r="P113" s="177"/>
      <c r="Q113" s="302">
        <f>COUNTIF(Q78:Q108,$C$118)</f>
        <v>0</v>
      </c>
      <c r="R113" s="177"/>
      <c r="S113" s="177"/>
      <c r="T113" s="177"/>
      <c r="U113" s="177"/>
      <c r="V113" s="177"/>
      <c r="W113" s="177"/>
      <c r="X113" s="177"/>
      <c r="Y113" s="177"/>
      <c r="Z113" s="148"/>
      <c r="AA113" s="148"/>
      <c r="AB113" s="148"/>
      <c r="AC113" s="148"/>
      <c r="AD113" s="148"/>
      <c r="AE113" s="148"/>
      <c r="AF113" s="177"/>
      <c r="AG113" s="177"/>
      <c r="AH113" s="177"/>
      <c r="AI113" s="177"/>
      <c r="AJ113" s="177"/>
      <c r="AK113" s="177"/>
      <c r="AL113" s="177"/>
      <c r="AM113" s="177"/>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c r="BI113" s="148"/>
      <c r="BJ113" s="148"/>
      <c r="BK113" s="148"/>
    </row>
    <row r="114" spans="1:63" hidden="1" x14ac:dyDescent="0.25">
      <c r="A114" s="19"/>
      <c r="C114" s="12"/>
      <c r="D114" s="12"/>
      <c r="E114" s="12"/>
      <c r="F114" s="12"/>
      <c r="G114" s="12"/>
      <c r="H114" s="19"/>
      <c r="I114" s="252"/>
      <c r="J114" s="177"/>
      <c r="K114" s="177"/>
      <c r="L114" s="177"/>
      <c r="M114" s="177"/>
      <c r="N114" s="177"/>
      <c r="O114" s="177"/>
      <c r="P114" s="148"/>
      <c r="Q114" s="177"/>
      <c r="R114" s="177"/>
      <c r="S114" s="301"/>
      <c r="T114" s="301"/>
      <c r="U114" s="301"/>
      <c r="V114" s="148"/>
      <c r="W114" s="148"/>
      <c r="X114" s="148"/>
      <c r="Y114" s="148"/>
      <c r="Z114" s="148"/>
      <c r="AA114" s="148"/>
      <c r="AB114" s="148"/>
      <c r="AC114" s="148"/>
      <c r="AD114" s="148"/>
      <c r="AE114" s="148"/>
      <c r="AF114" s="148"/>
      <c r="AG114" s="148"/>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c r="BI114" s="148"/>
      <c r="BJ114" s="148"/>
      <c r="BK114" s="148"/>
    </row>
    <row r="115" spans="1:63" ht="15" hidden="1" customHeight="1" x14ac:dyDescent="0.25">
      <c r="A115" s="19"/>
      <c r="C115" s="427" t="s">
        <v>85</v>
      </c>
      <c r="D115" s="427" t="s">
        <v>86</v>
      </c>
      <c r="E115" s="12"/>
      <c r="F115" s="12"/>
      <c r="G115" s="12"/>
      <c r="H115" s="19"/>
      <c r="I115" s="252"/>
      <c r="J115" s="177"/>
      <c r="K115" s="177"/>
      <c r="L115" s="177"/>
      <c r="M115" s="177"/>
      <c r="N115" s="177"/>
      <c r="O115" s="177"/>
      <c r="P115" s="148"/>
      <c r="Q115" s="177"/>
      <c r="R115" s="177"/>
      <c r="S115" s="177"/>
      <c r="T115" s="148"/>
      <c r="U115" s="148"/>
      <c r="V115" s="148"/>
      <c r="W115" s="148"/>
      <c r="X115" s="148"/>
      <c r="Y115" s="148"/>
      <c r="Z115" s="148"/>
      <c r="AA115" s="148"/>
      <c r="AB115" s="148"/>
      <c r="AC115" s="148"/>
      <c r="AD115" s="148"/>
      <c r="AE115" s="148"/>
      <c r="AF115" s="148"/>
      <c r="AG115" s="148"/>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c r="BI115" s="148"/>
      <c r="BJ115" s="148"/>
      <c r="BK115" s="148"/>
    </row>
    <row r="116" spans="1:63" hidden="1" x14ac:dyDescent="0.25">
      <c r="A116" s="19"/>
      <c r="C116" s="427"/>
      <c r="D116" s="427"/>
      <c r="E116" s="12"/>
      <c r="F116" s="12"/>
      <c r="G116" s="12"/>
      <c r="H116" s="19"/>
      <c r="I116" s="252"/>
      <c r="J116" s="177"/>
      <c r="K116" s="177"/>
      <c r="L116" s="177"/>
      <c r="M116" s="252"/>
      <c r="N116" s="177"/>
      <c r="O116" s="177"/>
      <c r="P116" s="177"/>
      <c r="Q116" s="252"/>
      <c r="R116" s="177"/>
      <c r="S116" s="177"/>
      <c r="T116" s="177"/>
      <c r="U116" s="252"/>
      <c r="V116" s="177"/>
      <c r="W116" s="177"/>
      <c r="X116" s="177"/>
      <c r="Y116" s="148"/>
      <c r="Z116" s="148"/>
      <c r="AA116" s="148"/>
      <c r="AB116" s="148"/>
      <c r="AC116" s="148"/>
      <c r="AD116" s="148"/>
      <c r="AE116" s="148"/>
      <c r="AF116" s="148"/>
      <c r="AG116" s="148"/>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c r="BI116" s="148"/>
      <c r="BJ116" s="148"/>
      <c r="BK116" s="148"/>
    </row>
    <row r="117" spans="1:63" ht="3.95" hidden="1" customHeight="1" thickBot="1" x14ac:dyDescent="0.25">
      <c r="A117" s="19"/>
      <c r="C117" s="428"/>
      <c r="D117" s="427"/>
      <c r="E117" s="12"/>
      <c r="F117" s="12"/>
      <c r="G117" s="12"/>
      <c r="H117" s="19"/>
      <c r="I117" s="252"/>
      <c r="J117" s="177"/>
      <c r="K117" s="177"/>
      <c r="L117" s="177"/>
      <c r="M117" s="177"/>
      <c r="N117" s="177"/>
      <c r="O117" s="177"/>
      <c r="P117" s="148"/>
      <c r="Q117" s="177"/>
      <c r="R117" s="177"/>
      <c r="S117" s="177"/>
      <c r="T117" s="148"/>
      <c r="U117" s="148"/>
      <c r="V117" s="148"/>
      <c r="W117" s="148"/>
      <c r="X117" s="148"/>
      <c r="Y117" s="148"/>
      <c r="Z117" s="148"/>
      <c r="AA117" s="148"/>
      <c r="AB117" s="148"/>
      <c r="AC117" s="148"/>
      <c r="AD117" s="148"/>
      <c r="AE117" s="148"/>
      <c r="AF117" s="148"/>
      <c r="AG117" s="148"/>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c r="BI117" s="148"/>
      <c r="BJ117" s="148"/>
      <c r="BK117" s="148"/>
    </row>
    <row r="118" spans="1:63" ht="23.25" hidden="1" x14ac:dyDescent="0.25">
      <c r="A118" s="19"/>
      <c r="C118" s="100">
        <v>2000</v>
      </c>
      <c r="D118" s="101">
        <v>0.2</v>
      </c>
      <c r="E118" s="102"/>
      <c r="F118" s="12"/>
      <c r="G118" s="12"/>
      <c r="H118" s="19"/>
      <c r="I118" s="252"/>
      <c r="J118" s="303" t="s">
        <v>87</v>
      </c>
      <c r="K118" s="303"/>
      <c r="L118" s="303"/>
      <c r="M118" s="304"/>
      <c r="N118" s="304"/>
      <c r="O118" s="304"/>
      <c r="P118" s="146"/>
      <c r="Q118" s="304"/>
      <c r="R118" s="304"/>
      <c r="S118" s="304"/>
      <c r="T118" s="146"/>
      <c r="U118" s="146"/>
      <c r="V118" s="148"/>
      <c r="W118" s="148"/>
      <c r="X118" s="148"/>
      <c r="Y118" s="148"/>
      <c r="Z118" s="148"/>
      <c r="AA118" s="148"/>
      <c r="AB118" s="148"/>
      <c r="AC118" s="148"/>
      <c r="AD118" s="148"/>
      <c r="AE118" s="148"/>
      <c r="AF118" s="148"/>
      <c r="AG118" s="148"/>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c r="BI118" s="148"/>
      <c r="BJ118" s="148"/>
      <c r="BK118" s="148"/>
    </row>
    <row r="119" spans="1:63" ht="6" hidden="1" customHeight="1" x14ac:dyDescent="0.25">
      <c r="A119" s="19"/>
      <c r="D119" s="12"/>
      <c r="E119" s="12"/>
      <c r="F119" s="12"/>
      <c r="G119" s="12"/>
      <c r="H119" s="19"/>
      <c r="I119" s="252"/>
      <c r="J119" s="177"/>
      <c r="K119" s="177"/>
      <c r="L119" s="177"/>
      <c r="M119" s="177"/>
      <c r="N119" s="177"/>
      <c r="O119" s="177"/>
      <c r="P119" s="148"/>
      <c r="Q119" s="177"/>
      <c r="R119" s="177"/>
      <c r="S119" s="177"/>
      <c r="T119" s="148"/>
      <c r="U119" s="148"/>
      <c r="V119" s="148"/>
      <c r="W119" s="148"/>
      <c r="X119" s="148"/>
      <c r="Y119" s="148"/>
      <c r="Z119" s="148"/>
      <c r="AA119" s="148"/>
      <c r="AB119" s="148"/>
      <c r="AC119" s="148"/>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row>
    <row r="120" spans="1:63" ht="16.5" hidden="1" thickBot="1" x14ac:dyDescent="0.3">
      <c r="A120" s="19"/>
      <c r="C120" s="103" t="s">
        <v>88</v>
      </c>
      <c r="D120" s="103"/>
      <c r="E120" s="103"/>
      <c r="F120" s="103"/>
      <c r="G120" s="103"/>
      <c r="H120" s="19"/>
      <c r="I120" s="252"/>
      <c r="J120" s="305"/>
      <c r="K120" s="306"/>
      <c r="L120" s="306"/>
      <c r="M120" s="307" t="s">
        <v>89</v>
      </c>
      <c r="N120" s="308"/>
      <c r="O120" s="309" t="s">
        <v>90</v>
      </c>
      <c r="P120" s="148"/>
      <c r="Q120" s="177"/>
      <c r="R120" s="177"/>
      <c r="S120" s="177"/>
      <c r="T120" s="148"/>
      <c r="U120" s="148"/>
      <c r="V120" s="148"/>
      <c r="W120" s="148"/>
      <c r="X120" s="148"/>
      <c r="Y120" s="148"/>
      <c r="Z120" s="148"/>
      <c r="AA120" s="148"/>
      <c r="AB120" s="148"/>
      <c r="AC120" s="148"/>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c r="BI120" s="148"/>
      <c r="BJ120" s="148"/>
      <c r="BK120" s="148"/>
    </row>
    <row r="121" spans="1:63" hidden="1" x14ac:dyDescent="0.25">
      <c r="A121" s="19"/>
      <c r="C121" s="104" t="s">
        <v>91</v>
      </c>
      <c r="D121" s="105" t="s">
        <v>92</v>
      </c>
      <c r="E121" s="105" t="s">
        <v>93</v>
      </c>
      <c r="F121" s="104" t="s">
        <v>94</v>
      </c>
      <c r="G121" s="104" t="s">
        <v>95</v>
      </c>
      <c r="H121" s="19"/>
      <c r="I121" s="252"/>
      <c r="J121" s="310" t="s">
        <v>96</v>
      </c>
      <c r="K121" s="311"/>
      <c r="L121" s="311"/>
      <c r="M121" s="312">
        <f>M$25</f>
        <v>175000</v>
      </c>
      <c r="N121" s="313"/>
      <c r="O121" s="314">
        <f>M121</f>
        <v>175000</v>
      </c>
      <c r="P121" s="148"/>
      <c r="Q121" s="177"/>
      <c r="R121" s="177"/>
      <c r="S121" s="177"/>
      <c r="T121" s="148"/>
      <c r="U121" s="148"/>
      <c r="V121" s="148"/>
      <c r="W121" s="148"/>
      <c r="X121" s="148"/>
      <c r="Y121" s="148"/>
      <c r="Z121" s="148"/>
      <c r="AA121" s="148"/>
      <c r="AB121" s="148"/>
      <c r="AC121" s="148"/>
      <c r="AD121" s="148"/>
      <c r="AE121" s="148"/>
      <c r="AF121" s="148"/>
      <c r="AG121" s="148"/>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c r="BI121" s="148"/>
      <c r="BJ121" s="148"/>
      <c r="BK121" s="148"/>
    </row>
    <row r="122" spans="1:63" hidden="1" x14ac:dyDescent="0.25">
      <c r="A122" s="19"/>
      <c r="C122" s="106">
        <v>7.8299999999999995E-2</v>
      </c>
      <c r="D122" s="106">
        <v>0.05</v>
      </c>
      <c r="E122" s="106">
        <v>0.01</v>
      </c>
      <c r="F122" s="107">
        <v>3900</v>
      </c>
      <c r="G122" s="108">
        <v>2</v>
      </c>
      <c r="H122" s="19"/>
      <c r="I122" s="252"/>
      <c r="J122" s="310" t="s">
        <v>2</v>
      </c>
      <c r="K122" s="311"/>
      <c r="L122" s="311"/>
      <c r="M122" s="315">
        <f>M31</f>
        <v>4.4999999999999998E-2</v>
      </c>
      <c r="N122" s="316"/>
      <c r="O122" s="317">
        <f>M122</f>
        <v>4.4999999999999998E-2</v>
      </c>
      <c r="P122" s="148"/>
      <c r="Q122" s="177"/>
      <c r="R122" s="177"/>
      <c r="S122" s="177"/>
      <c r="T122" s="148"/>
      <c r="U122" s="148"/>
      <c r="V122" s="148"/>
      <c r="W122" s="148"/>
      <c r="X122" s="148"/>
      <c r="Y122" s="148"/>
      <c r="Z122" s="148"/>
      <c r="AA122" s="148"/>
      <c r="AB122" s="148"/>
      <c r="AC122" s="148"/>
      <c r="AD122" s="148"/>
      <c r="AE122" s="148"/>
      <c r="AF122" s="148"/>
      <c r="AG122" s="148"/>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c r="BI122" s="148"/>
      <c r="BJ122" s="148"/>
      <c r="BK122" s="148"/>
    </row>
    <row r="123" spans="1:63" hidden="1" x14ac:dyDescent="0.25">
      <c r="A123" s="19"/>
      <c r="C123" s="104" t="s">
        <v>97</v>
      </c>
      <c r="D123" s="104" t="s">
        <v>98</v>
      </c>
      <c r="E123" s="104" t="s">
        <v>99</v>
      </c>
      <c r="F123" s="109" t="s">
        <v>100</v>
      </c>
      <c r="G123" s="109" t="s">
        <v>100</v>
      </c>
      <c r="H123" s="19"/>
      <c r="I123" s="252"/>
      <c r="J123" s="310" t="s">
        <v>101</v>
      </c>
      <c r="K123" s="311"/>
      <c r="L123" s="311"/>
      <c r="M123" s="318">
        <f>$G48</f>
        <v>360</v>
      </c>
      <c r="N123" s="319"/>
      <c r="O123" s="320">
        <f>M123</f>
        <v>360</v>
      </c>
      <c r="P123" s="321"/>
      <c r="Q123" s="177"/>
      <c r="R123" s="177"/>
      <c r="S123" s="177"/>
      <c r="T123" s="321"/>
      <c r="U123" s="321"/>
      <c r="V123" s="148"/>
      <c r="W123" s="148"/>
      <c r="X123" s="148"/>
      <c r="Y123" s="148"/>
      <c r="Z123" s="148"/>
      <c r="AA123" s="148"/>
      <c r="AB123" s="148"/>
      <c r="AC123" s="148"/>
      <c r="AD123" s="148"/>
      <c r="AE123" s="148"/>
      <c r="AF123" s="148"/>
      <c r="AG123" s="148"/>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c r="BI123" s="148"/>
      <c r="BJ123" s="148"/>
      <c r="BK123" s="148"/>
    </row>
    <row r="124" spans="1:63" hidden="1" x14ac:dyDescent="0.25">
      <c r="A124" s="19"/>
      <c r="C124" s="106">
        <v>1.4999999999999999E-2</v>
      </c>
      <c r="D124" s="106">
        <v>0.97</v>
      </c>
      <c r="E124" s="107">
        <v>3200</v>
      </c>
      <c r="F124" s="107">
        <v>6100</v>
      </c>
      <c r="G124" s="107">
        <v>12200</v>
      </c>
      <c r="H124" s="19"/>
      <c r="I124" s="252"/>
      <c r="J124" s="310" t="s">
        <v>102</v>
      </c>
      <c r="K124" s="311"/>
      <c r="L124" s="311"/>
      <c r="M124" s="322">
        <f>-PMT(M122/12,M123,M121)</f>
        <v>886.69929219529126</v>
      </c>
      <c r="N124" s="323"/>
      <c r="O124" s="324">
        <f>-PMT(O122/12,O123,O121)</f>
        <v>886.69929219529126</v>
      </c>
      <c r="P124" s="148"/>
      <c r="Q124" s="177"/>
      <c r="R124" s="177"/>
      <c r="S124" s="177"/>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row>
    <row r="125" spans="1:63" ht="15.75" hidden="1" thickBot="1" x14ac:dyDescent="0.3">
      <c r="A125" s="19"/>
      <c r="D125" s="12"/>
      <c r="E125" s="12"/>
      <c r="F125" s="12"/>
      <c r="G125" s="12"/>
      <c r="H125" s="19"/>
      <c r="I125" s="252"/>
      <c r="J125" s="325" t="s">
        <v>103</v>
      </c>
      <c r="K125" s="326"/>
      <c r="L125" s="326"/>
      <c r="M125" s="327">
        <f>M124*12</f>
        <v>10640.391506343494</v>
      </c>
      <c r="N125" s="328"/>
      <c r="O125" s="329">
        <f>O124*12</f>
        <v>10640.391506343494</v>
      </c>
      <c r="P125" s="330"/>
      <c r="Q125" s="177"/>
      <c r="R125" s="177"/>
      <c r="S125" s="177"/>
      <c r="T125" s="330"/>
      <c r="U125" s="330"/>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c r="BI125" s="148"/>
      <c r="BJ125" s="148"/>
      <c r="BK125" s="148"/>
    </row>
    <row r="126" spans="1:63" ht="15.75" hidden="1" customHeight="1" x14ac:dyDescent="0.25">
      <c r="A126" s="19"/>
      <c r="D126" s="12"/>
      <c r="E126" s="12"/>
      <c r="F126" s="12"/>
      <c r="G126" s="12"/>
      <c r="H126" s="19"/>
      <c r="I126" s="252"/>
      <c r="J126" s="310"/>
      <c r="K126" s="311"/>
      <c r="L126" s="311"/>
      <c r="M126" s="331"/>
      <c r="N126" s="332"/>
      <c r="O126" s="333"/>
      <c r="P126" s="330"/>
      <c r="Q126" s="177"/>
      <c r="R126" s="177"/>
      <c r="S126" s="177"/>
      <c r="T126" s="330"/>
      <c r="U126" s="330"/>
      <c r="V126" s="148"/>
      <c r="W126" s="148"/>
      <c r="X126" s="148"/>
      <c r="Y126" s="148"/>
      <c r="Z126" s="148"/>
      <c r="AA126" s="148"/>
      <c r="AB126" s="148"/>
      <c r="AC126" s="148"/>
      <c r="AD126" s="148"/>
      <c r="AE126" s="148"/>
      <c r="AF126" s="148"/>
      <c r="AG126" s="148"/>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c r="BI126" s="148"/>
      <c r="BJ126" s="148"/>
      <c r="BK126" s="148"/>
    </row>
    <row r="127" spans="1:63" hidden="1" x14ac:dyDescent="0.25">
      <c r="A127" s="19"/>
      <c r="D127" s="63">
        <f>SUMIF($G$223:$G$253,$G127,$F$223:$F$254)</f>
        <v>2014</v>
      </c>
      <c r="E127" s="110">
        <f>F127-11</f>
        <v>1</v>
      </c>
      <c r="F127" s="110">
        <f>G127*12</f>
        <v>12</v>
      </c>
      <c r="G127" s="95">
        <v>1</v>
      </c>
      <c r="H127" s="19"/>
      <c r="I127" s="252"/>
      <c r="J127" s="334" t="str">
        <f>IF(F40="YES",CONCATENATE("Year ",G127," Interest"),CONCATENATE(D127," Interest Paid"))</f>
        <v>2014 Interest Paid</v>
      </c>
      <c r="K127" s="335"/>
      <c r="L127" s="335"/>
      <c r="M127" s="336">
        <f>IF($F$40="YES",-CUMIPMT(M$122/12,M$123,M$121,$E127,$F127,0),SUMIF($F$223:$F$254,$D127,M$223:M$254))</f>
        <v>3272.5756838023922</v>
      </c>
      <c r="N127" s="337"/>
      <c r="O127" s="338">
        <f>IF($F$40="YES",-CUMIPMT(M$122/12,M$123,M$121,$E127,$F127,0),SUMIF($F$223:$F$254,$D127,M$223:M$254))</f>
        <v>3272.5756838023922</v>
      </c>
      <c r="P127" s="330"/>
      <c r="Q127" s="177"/>
      <c r="R127" s="177"/>
      <c r="S127" s="177"/>
      <c r="T127" s="330"/>
      <c r="U127" s="330"/>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c r="BI127" s="148"/>
      <c r="BJ127" s="148"/>
      <c r="BK127" s="148"/>
    </row>
    <row r="128" spans="1:63" hidden="1" x14ac:dyDescent="0.25">
      <c r="A128" s="19"/>
      <c r="C128" s="68"/>
      <c r="D128" s="72"/>
      <c r="E128" s="57"/>
      <c r="F128" s="12"/>
      <c r="G128" s="12"/>
      <c r="H128" s="19"/>
      <c r="I128" s="252"/>
      <c r="J128" s="310" t="s">
        <v>104</v>
      </c>
      <c r="K128" s="311"/>
      <c r="L128" s="311"/>
      <c r="M128" s="339">
        <f>M$33</f>
        <v>0.25</v>
      </c>
      <c r="N128" s="340"/>
      <c r="O128" s="341"/>
      <c r="P128" s="148"/>
      <c r="Q128" s="177"/>
      <c r="R128" s="177"/>
      <c r="S128" s="177"/>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row>
    <row r="129" spans="1:63" ht="15.75" hidden="1" x14ac:dyDescent="0.25">
      <c r="A129" s="19"/>
      <c r="D129" s="72"/>
      <c r="E129" s="24"/>
      <c r="F129" s="24"/>
      <c r="G129" s="72"/>
      <c r="H129" s="19"/>
      <c r="I129" s="252"/>
      <c r="J129" s="342" t="s">
        <v>105</v>
      </c>
      <c r="K129" s="343"/>
      <c r="L129" s="343"/>
      <c r="M129" s="344">
        <f>IF(M128&lt;=$D$118,M127*M128,MIN($C$118,M127*M128))</f>
        <v>818.14392095059804</v>
      </c>
      <c r="N129" s="345"/>
      <c r="O129" s="346"/>
      <c r="P129" s="148"/>
      <c r="Q129" s="177"/>
      <c r="R129" s="177"/>
      <c r="S129" s="177"/>
      <c r="T129" s="148"/>
      <c r="U129" s="148"/>
      <c r="V129" s="148"/>
      <c r="W129" s="148"/>
      <c r="X129" s="148"/>
      <c r="Y129" s="148"/>
      <c r="Z129" s="148"/>
      <c r="AA129" s="148"/>
      <c r="AB129" s="148"/>
      <c r="AC129" s="148"/>
      <c r="AD129" s="148"/>
      <c r="AE129" s="148"/>
      <c r="AF129" s="148"/>
      <c r="AG129" s="148"/>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row>
    <row r="130" spans="1:63" ht="6" hidden="1" customHeight="1" x14ac:dyDescent="0.25">
      <c r="A130" s="19"/>
      <c r="D130" s="12"/>
      <c r="E130" s="12"/>
      <c r="F130" s="12"/>
      <c r="G130" s="12"/>
      <c r="H130" s="19"/>
      <c r="I130" s="347">
        <f>SUM(M130:T130)</f>
        <v>0</v>
      </c>
      <c r="J130" s="310"/>
      <c r="K130" s="311"/>
      <c r="L130" s="311"/>
      <c r="M130" s="348" t="str">
        <f>IF($F$40="YES",IF(ROUND(M127-SUMIF($G$271:$G$632,$G127,M$271:M$632),2)=0,"",M127-SUMIF($G$271:$G$632,$G127,M$271:M$632)),IF(ROUND(M127-SUMIF($F$271:$F$632,$D127,M$271:M$632),2)=0,"",M127-SUMIF($F$271:$F$632,$D127,M$271:M$632)))</f>
        <v/>
      </c>
      <c r="N130" s="349"/>
      <c r="O130" s="350" t="str">
        <f>IF(OR(M135=$G$219,M128&lt;=$D$118),"",IF(M129=$C$118,M141-($C$118*(1-M137)),""))</f>
        <v/>
      </c>
      <c r="P130" s="148"/>
      <c r="Q130" s="177"/>
      <c r="R130" s="177"/>
      <c r="S130" s="177"/>
      <c r="T130" s="148"/>
      <c r="U130" s="148"/>
      <c r="V130" s="148"/>
      <c r="W130" s="148"/>
      <c r="X130" s="148"/>
      <c r="Y130" s="148"/>
      <c r="Z130" s="148"/>
      <c r="AA130" s="148"/>
      <c r="AB130" s="148"/>
      <c r="AC130" s="148"/>
      <c r="AD130" s="148"/>
      <c r="AE130" s="148"/>
      <c r="AF130" s="148"/>
      <c r="AG130" s="148"/>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c r="BI130" s="148"/>
      <c r="BJ130" s="148"/>
      <c r="BK130" s="148"/>
    </row>
    <row r="131" spans="1:63" hidden="1" x14ac:dyDescent="0.25">
      <c r="A131" s="19"/>
      <c r="C131" s="111">
        <f>$M$28</f>
        <v>0.98188807538734257</v>
      </c>
      <c r="D131" s="12"/>
      <c r="F131" s="57"/>
      <c r="G131" s="12"/>
      <c r="H131" s="19"/>
      <c r="I131" s="252"/>
      <c r="J131" s="310" t="s">
        <v>106</v>
      </c>
      <c r="K131" s="311"/>
      <c r="L131" s="311"/>
      <c r="M131" s="351">
        <f>M29</f>
        <v>68000</v>
      </c>
      <c r="N131" s="352"/>
      <c r="O131" s="353">
        <f>M29</f>
        <v>68000</v>
      </c>
      <c r="P131" s="148"/>
      <c r="Q131" s="177"/>
      <c r="R131" s="177"/>
      <c r="S131" s="177"/>
      <c r="T131" s="148"/>
      <c r="U131" s="148"/>
      <c r="V131" s="148"/>
      <c r="W131" s="148"/>
      <c r="X131" s="148"/>
      <c r="Y131" s="148"/>
      <c r="Z131" s="291"/>
      <c r="AA131" s="177"/>
      <c r="AB131" s="292"/>
      <c r="AC131" s="293"/>
      <c r="AD131" s="28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c r="BI131" s="148"/>
      <c r="BJ131" s="148"/>
      <c r="BK131" s="148"/>
    </row>
    <row r="132" spans="1:63" hidden="1" x14ac:dyDescent="0.25">
      <c r="A132" s="19"/>
      <c r="C132" s="112" t="s">
        <v>107</v>
      </c>
      <c r="D132" s="112" t="s">
        <v>97</v>
      </c>
      <c r="E132" s="112" t="s">
        <v>108</v>
      </c>
      <c r="F132" s="113" t="s">
        <v>109</v>
      </c>
      <c r="G132" s="112" t="s">
        <v>110</v>
      </c>
      <c r="H132" s="19"/>
      <c r="I132" s="252"/>
      <c r="J132" s="310" t="s">
        <v>111</v>
      </c>
      <c r="K132" s="311"/>
      <c r="L132" s="311"/>
      <c r="M132" s="354">
        <f>M131*$D$200</f>
        <v>3400</v>
      </c>
      <c r="N132" s="352"/>
      <c r="O132" s="353">
        <f>O131*$D$200</f>
        <v>3400</v>
      </c>
      <c r="P132" s="148"/>
      <c r="Q132" s="177"/>
      <c r="R132" s="177"/>
      <c r="S132" s="177"/>
      <c r="T132" s="148"/>
      <c r="U132" s="148"/>
      <c r="V132" s="148"/>
      <c r="W132" s="148"/>
      <c r="X132" s="148"/>
      <c r="Y132" s="148"/>
      <c r="Z132" s="294"/>
      <c r="AA132" s="294"/>
      <c r="AB132" s="294"/>
      <c r="AC132" s="295"/>
      <c r="AD132" s="294"/>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48"/>
    </row>
    <row r="133" spans="1:63" hidden="1" x14ac:dyDescent="0.25">
      <c r="A133" s="19"/>
      <c r="C133" s="57">
        <f>M127-M129</f>
        <v>2454.4317628517942</v>
      </c>
      <c r="D133" s="57">
        <f>$M$27*$C$124</f>
        <v>2673.4207959134956</v>
      </c>
      <c r="E133" s="57">
        <f>M131*$E$122</f>
        <v>680</v>
      </c>
      <c r="F133" s="114">
        <f>(M133-(SUM(C133:E133)+M129)-($E$124*$G$122))*$C$122</f>
        <v>4038.2444756382456</v>
      </c>
      <c r="G133" s="57">
        <f>SUM(C133:F133)</f>
        <v>9846.0970344035341</v>
      </c>
      <c r="H133" s="19"/>
      <c r="I133" s="355">
        <f>G133-G206+AE133</f>
        <v>0</v>
      </c>
      <c r="J133" s="310" t="s">
        <v>112</v>
      </c>
      <c r="K133" s="311"/>
      <c r="L133" s="311"/>
      <c r="M133" s="354">
        <f>M131-M132</f>
        <v>64600</v>
      </c>
      <c r="N133" s="352"/>
      <c r="O133" s="353">
        <f>O131-O132</f>
        <v>64600</v>
      </c>
      <c r="P133" s="148"/>
      <c r="Q133" s="177"/>
      <c r="R133" s="177"/>
      <c r="S133" s="177"/>
      <c r="T133" s="148"/>
      <c r="U133" s="148"/>
      <c r="V133" s="148"/>
      <c r="W133" s="148"/>
      <c r="X133" s="148"/>
      <c r="Y133" s="148"/>
      <c r="Z133" s="288"/>
      <c r="AA133" s="288"/>
      <c r="AB133" s="288"/>
      <c r="AC133" s="296"/>
      <c r="AD133" s="288"/>
      <c r="AE133" s="296"/>
      <c r="AF133" s="148"/>
      <c r="AG133" s="148"/>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c r="BI133" s="148"/>
      <c r="BJ133" s="148"/>
      <c r="BK133" s="148"/>
    </row>
    <row r="134" spans="1:63" hidden="1" x14ac:dyDescent="0.25">
      <c r="A134" s="19"/>
      <c r="H134" s="19"/>
      <c r="I134" s="356"/>
      <c r="J134" s="310" t="s">
        <v>113</v>
      </c>
      <c r="K134" s="311"/>
      <c r="L134" s="311"/>
      <c r="M134" s="354">
        <f>($F$122*$G$122)</f>
        <v>7800</v>
      </c>
      <c r="N134" s="352"/>
      <c r="O134" s="353">
        <f>($F$122*$G$122)</f>
        <v>7800</v>
      </c>
      <c r="P134" s="148"/>
      <c r="Q134" s="177"/>
      <c r="R134" s="177"/>
      <c r="S134" s="177"/>
      <c r="T134" s="148"/>
      <c r="U134" s="148"/>
      <c r="V134" s="148"/>
      <c r="W134" s="148"/>
      <c r="X134" s="148"/>
      <c r="Y134" s="148"/>
      <c r="Z134" s="288"/>
      <c r="AA134" s="288"/>
      <c r="AB134" s="288"/>
      <c r="AC134" s="296"/>
      <c r="AD134" s="288"/>
      <c r="AE134" s="296"/>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48"/>
    </row>
    <row r="135" spans="1:63" hidden="1" x14ac:dyDescent="0.25">
      <c r="A135" s="19"/>
      <c r="C135" s="115" t="s">
        <v>114</v>
      </c>
      <c r="D135" s="116"/>
      <c r="E135" s="116"/>
      <c r="F135" s="116"/>
      <c r="G135" s="116"/>
      <c r="H135" s="19"/>
      <c r="I135" s="357" t="str">
        <f>$D$26</f>
        <v>Single</v>
      </c>
      <c r="J135" s="310" t="s">
        <v>115</v>
      </c>
      <c r="K135" s="311"/>
      <c r="L135" s="311"/>
      <c r="M135" s="351">
        <f>IF($I135=$C$28,MAX($F$124,(((M131*(1-$D$122))-($E$124*$G$122)-((M$121/$C$148)*$C$124)-(M131*$E$122)-M127)*$C$122)+((M$121/$C$148)*$C$124)+(M127-M129)+(M131*$E$122)),IF($I$135=$C$29,MAX($G$124,(((M131*(1-$D$122))-($E$124*$G$122)-((M$121/$C$148)*$C$124)-(M131*$E$122)-M127)*$C$122)+((M$121/$C$148)*$C$124)+(M127-M129)+(M131*$E$122)),"CHECK"))</f>
        <v>9846.0970344035359</v>
      </c>
      <c r="N135" s="352"/>
      <c r="O135" s="353">
        <f>IF($I135=$C$28,MAX($F$124,(((O131*(1-$D$122))-($E$124*$G$122)-((O$121/$C$148)*$C$124)-(O131*$E$122)-O127)*$C$122)+((O$121/$C$148)*$C$124)+(O127-O129)+(O131*$E$122)),IF($I$135=$C$29,MAX($G$124,(((O131*(1-$D$122))-($E$124*$G$122)-((O$121/$C$148)*$C$124)-(O131*$E$122)-O127)*$C$122)+((O$121/$C$148)*$C$124)+(O127-O129)+(O131*$E$122)),"CHECK"))</f>
        <v>10664.240955354133</v>
      </c>
      <c r="P135" s="148"/>
      <c r="Q135" s="177"/>
      <c r="R135" s="177"/>
      <c r="S135" s="177"/>
      <c r="T135" s="148"/>
      <c r="U135" s="148"/>
      <c r="V135" s="148"/>
      <c r="W135" s="148"/>
      <c r="X135" s="148"/>
      <c r="Y135" s="148"/>
      <c r="Z135" s="148"/>
      <c r="AA135" s="148"/>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c r="BI135" s="148"/>
      <c r="BJ135" s="148"/>
      <c r="BK135" s="148"/>
    </row>
    <row r="136" spans="1:63" hidden="1" x14ac:dyDescent="0.25">
      <c r="A136" s="19"/>
      <c r="C136" s="117"/>
      <c r="D136" s="106">
        <v>0.1</v>
      </c>
      <c r="E136" s="106">
        <v>0.15</v>
      </c>
      <c r="F136" s="106">
        <v>0.25</v>
      </c>
      <c r="G136" s="106">
        <v>0.28000000000000003</v>
      </c>
      <c r="H136" s="19"/>
      <c r="I136" s="356"/>
      <c r="J136" s="310" t="s">
        <v>116</v>
      </c>
      <c r="K136" s="311"/>
      <c r="L136" s="311"/>
      <c r="M136" s="354">
        <f>M133-SUM(M134:M135)</f>
        <v>46953.902965596462</v>
      </c>
      <c r="N136" s="313"/>
      <c r="O136" s="353">
        <f>O133-SUM(O134:O135)</f>
        <v>46135.759044645863</v>
      </c>
      <c r="P136" s="148"/>
      <c r="Q136" s="177"/>
      <c r="R136" s="177"/>
      <c r="S136" s="177"/>
      <c r="T136" s="148"/>
      <c r="U136" s="148"/>
      <c r="V136" s="148"/>
      <c r="W136" s="148"/>
      <c r="X136" s="148"/>
      <c r="Y136" s="148"/>
      <c r="Z136" s="148"/>
      <c r="AA136" s="148"/>
      <c r="AB136" s="148"/>
      <c r="AC136" s="148"/>
      <c r="AD136" s="148"/>
      <c r="AE136" s="148"/>
      <c r="AF136" s="148"/>
      <c r="AG136" s="148"/>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c r="BI136" s="148"/>
      <c r="BJ136" s="148"/>
      <c r="BK136" s="148"/>
    </row>
    <row r="137" spans="1:63" hidden="1" x14ac:dyDescent="0.25">
      <c r="A137" s="19"/>
      <c r="C137" s="107">
        <v>0</v>
      </c>
      <c r="D137" s="107">
        <v>8925</v>
      </c>
      <c r="E137" s="107">
        <v>36250</v>
      </c>
      <c r="F137" s="107">
        <v>87850</v>
      </c>
      <c r="G137" s="107">
        <v>183250</v>
      </c>
      <c r="H137" s="19"/>
      <c r="I137" s="357" t="str">
        <f>$F$30</f>
        <v>NO</v>
      </c>
      <c r="J137" s="310" t="s">
        <v>117</v>
      </c>
      <c r="K137" s="311"/>
      <c r="L137" s="311"/>
      <c r="M137" s="339">
        <f>IF($I137="YES",$G$30,IF($I135=$C$28,IF(M136&gt;$F137,$G136,IF(M136&gt;$E137,$F136,IF(M136&gt;$D137,$E136,"CHECK"))),IF($I135=$C$29,IF(M136&gt;$E141,$F140,IF(M136&gt;$D141,$E140,IF(M136&gt;$C141,$D140,"CHECK"))))))</f>
        <v>0.25</v>
      </c>
      <c r="N137" s="340"/>
      <c r="O137" s="341">
        <f>IF($I137="YES",$G$30,IF($I135=$C$28,IF(O136&gt;$F137,$G136,IF(O136&gt;$E137,$F136,IF(O136&gt;$D137,$E136,"CHECK"))),IF($I135=$C$29,IF(O136&gt;$E141,$F140,IF(O136&gt;$D141,$E140,IF(O136&gt;$C141,$D136,"CHECK"))))))</f>
        <v>0.25</v>
      </c>
      <c r="P137" s="148"/>
      <c r="Q137" s="177"/>
      <c r="R137" s="177"/>
      <c r="S137" s="177"/>
      <c r="T137" s="148"/>
      <c r="U137" s="148"/>
      <c r="V137" s="148"/>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c r="BI137" s="148"/>
      <c r="BJ137" s="148"/>
      <c r="BK137" s="148"/>
    </row>
    <row r="138" spans="1:63" hidden="1" x14ac:dyDescent="0.25">
      <c r="A138" s="19"/>
      <c r="C138" s="118"/>
      <c r="D138" s="119">
        <v>0</v>
      </c>
      <c r="E138" s="119">
        <f>D138+((D137-C137)*D136)</f>
        <v>892.5</v>
      </c>
      <c r="F138" s="119">
        <f>E138+((E137-D137)*E136)</f>
        <v>4991.25</v>
      </c>
      <c r="G138" s="119">
        <f>F138+((F137-E137)*F136)</f>
        <v>17891.25</v>
      </c>
      <c r="H138" s="19"/>
      <c r="I138" s="358">
        <f>IF(AND(M137=D136,O137=D136),((M138-(M136*M137))+(O138-(O136*O137))),0)+IF(AND(Q137=D136,S137=D136),((Q138-(Q136*Q137))+(S138-(S136*S137))),0)</f>
        <v>0</v>
      </c>
      <c r="J138" s="310" t="str">
        <f>CONCATENATE("Tax Table Taxes (",$I$135,")")</f>
        <v>Tax Table Taxes (Single)</v>
      </c>
      <c r="K138" s="311"/>
      <c r="L138" s="311"/>
      <c r="M138" s="354">
        <f>IF($I$135=$C$28,IF(M136&gt;$F137,$G138+((M136-$F137)*$G136),IF(M136&gt;$E137,$F138+((M136-$E137)*$F136),IF(M136&gt;$D137,$D138+((M136-$D137)*$E136),"CHCK"))),IF($I$135=$C$29,IF(M136&gt;$E141,$F142+((M136-$E141)*$F140),IF(M136&gt;$D141,$E142+((M136-$D141)*$E140),IF(M136&gt;$C141,$C142+((M136-$C141)*$D140),"CHEK"))),"CHEK"))</f>
        <v>7667.2257413991156</v>
      </c>
      <c r="N138" s="313"/>
      <c r="O138" s="353">
        <f>IF($I$135=$C$28,IF(O136&gt;$F137,$G138+((O136-$F137)*$G136),IF(O136&gt;$E137,$F138+((O136-$E137)*$F136),IF(O136&gt;$D137,$D138+((O136-$D137)*$E136),"CHCK"))),IF($I$135=$C$29,IF(O136&gt;$E141,$F142+((O136-$E141)*$F140),IF(O136&gt;$D141,$E142+((O136-$D141)*$E140),IF(O136&gt;$C141,$C142+((O136-$C141)*$D140),"CHEK"))),"CHEK"))</f>
        <v>7462.6897611614659</v>
      </c>
      <c r="P138" s="148"/>
      <c r="Q138" s="177"/>
      <c r="R138" s="177"/>
      <c r="S138" s="177"/>
      <c r="T138" s="148"/>
      <c r="U138" s="148"/>
      <c r="V138" s="296"/>
      <c r="W138" s="148"/>
      <c r="X138" s="148"/>
      <c r="Y138" s="148"/>
      <c r="Z138" s="148"/>
      <c r="AA138" s="148"/>
      <c r="AB138" s="148"/>
      <c r="AC138" s="148"/>
      <c r="AD138" s="148"/>
      <c r="AE138" s="148"/>
      <c r="AF138" s="148"/>
      <c r="AG138" s="148"/>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c r="BI138" s="148"/>
      <c r="BJ138" s="148"/>
      <c r="BK138" s="148"/>
    </row>
    <row r="139" spans="1:63" hidden="1" x14ac:dyDescent="0.25">
      <c r="A139" s="19"/>
      <c r="C139" s="120" t="s">
        <v>118</v>
      </c>
      <c r="D139" s="121"/>
      <c r="E139" s="121"/>
      <c r="F139" s="121"/>
      <c r="G139" s="121"/>
      <c r="H139" s="19"/>
      <c r="I139" s="252"/>
      <c r="J139" s="310" t="s">
        <v>119</v>
      </c>
      <c r="K139" s="311"/>
      <c r="L139" s="311"/>
      <c r="M139" s="354">
        <f>-M129</f>
        <v>-818.14392095059804</v>
      </c>
      <c r="N139" s="313"/>
      <c r="O139" s="359">
        <v>0</v>
      </c>
      <c r="P139" s="148"/>
      <c r="Q139" s="177"/>
      <c r="R139" s="177"/>
      <c r="S139" s="177"/>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c r="BI139" s="148"/>
      <c r="BJ139" s="148"/>
      <c r="BK139" s="148"/>
    </row>
    <row r="140" spans="1:63" hidden="1" x14ac:dyDescent="0.25">
      <c r="A140" s="19"/>
      <c r="C140" s="117"/>
      <c r="D140" s="106">
        <v>0.1</v>
      </c>
      <c r="E140" s="106">
        <v>0.15</v>
      </c>
      <c r="F140" s="106">
        <v>0.25</v>
      </c>
      <c r="G140" s="106">
        <v>0.28000000000000003</v>
      </c>
      <c r="H140" s="19"/>
      <c r="I140" s="252"/>
      <c r="J140" s="342" t="s">
        <v>120</v>
      </c>
      <c r="K140" s="343"/>
      <c r="L140" s="343"/>
      <c r="M140" s="360">
        <f>M138+M139</f>
        <v>6849.0818204485176</v>
      </c>
      <c r="N140" s="361"/>
      <c r="O140" s="362">
        <f>O138+O139</f>
        <v>7462.6897611614659</v>
      </c>
      <c r="P140" s="148"/>
      <c r="Q140" s="177"/>
      <c r="R140" s="177"/>
      <c r="S140" s="177"/>
      <c r="T140" s="148"/>
      <c r="U140" s="148"/>
      <c r="V140" s="148"/>
      <c r="W140" s="148"/>
      <c r="X140" s="148"/>
      <c r="Y140" s="148"/>
      <c r="Z140" s="148"/>
      <c r="AA140" s="148"/>
      <c r="AB140" s="148"/>
      <c r="AC140" s="148"/>
      <c r="AD140" s="148"/>
      <c r="AE140" s="148"/>
      <c r="AF140" s="148"/>
      <c r="AG140" s="148"/>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c r="BI140" s="148"/>
      <c r="BJ140" s="148"/>
      <c r="BK140" s="148"/>
    </row>
    <row r="141" spans="1:63" hidden="1" x14ac:dyDescent="0.25">
      <c r="A141" s="19"/>
      <c r="C141" s="107">
        <v>0</v>
      </c>
      <c r="D141" s="107">
        <v>17850</v>
      </c>
      <c r="E141" s="107">
        <v>72500</v>
      </c>
      <c r="F141" s="107">
        <v>146400</v>
      </c>
      <c r="G141" s="107">
        <v>233050</v>
      </c>
      <c r="H141" s="19"/>
      <c r="I141" s="252"/>
      <c r="J141" s="342" t="s">
        <v>121</v>
      </c>
      <c r="K141" s="343"/>
      <c r="L141" s="343"/>
      <c r="M141" s="360">
        <f>O140-M140</f>
        <v>613.60794071294822</v>
      </c>
      <c r="N141" s="361"/>
      <c r="O141" s="341"/>
      <c r="P141" s="148"/>
      <c r="Q141" s="177"/>
      <c r="R141" s="177"/>
      <c r="S141" s="177"/>
      <c r="T141" s="148"/>
      <c r="U141" s="148"/>
      <c r="V141" s="148"/>
      <c r="W141" s="148"/>
      <c r="X141" s="148"/>
      <c r="Y141" s="148"/>
      <c r="Z141" s="148"/>
      <c r="AA141" s="148"/>
      <c r="AB141" s="148"/>
      <c r="AC141" s="148"/>
      <c r="AD141" s="148"/>
      <c r="AE141" s="148"/>
      <c r="AF141" s="148"/>
      <c r="AG141" s="148"/>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c r="BI141" s="148"/>
      <c r="BJ141" s="148"/>
      <c r="BK141" s="148"/>
    </row>
    <row r="142" spans="1:63" ht="15.75" hidden="1" thickBot="1" x14ac:dyDescent="0.3">
      <c r="A142" s="19"/>
      <c r="C142" s="118"/>
      <c r="D142" s="119">
        <v>0</v>
      </c>
      <c r="E142" s="119">
        <f>D142+((D141-C141)*D140)</f>
        <v>1785</v>
      </c>
      <c r="F142" s="119">
        <f>E142+((E141-D141)*E140)</f>
        <v>9982.5</v>
      </c>
      <c r="G142" s="119">
        <f>F142+((F141-E141)*F140)</f>
        <v>28457.5</v>
      </c>
      <c r="H142" s="19"/>
      <c r="I142" s="252"/>
      <c r="J142" s="363" t="s">
        <v>122</v>
      </c>
      <c r="K142" s="364"/>
      <c r="L142" s="364"/>
      <c r="M142" s="365">
        <f>M141/12</f>
        <v>51.133995059412349</v>
      </c>
      <c r="N142" s="366"/>
      <c r="O142" s="367"/>
      <c r="P142" s="148"/>
      <c r="Q142" s="177"/>
      <c r="R142" s="177"/>
      <c r="S142" s="177"/>
      <c r="T142" s="148"/>
      <c r="U142" s="148"/>
      <c r="V142" s="148"/>
      <c r="W142" s="148"/>
      <c r="X142" s="148"/>
      <c r="Y142" s="148"/>
      <c r="Z142" s="148"/>
      <c r="AA142" s="148"/>
      <c r="AB142" s="148"/>
      <c r="AC142" s="148"/>
      <c r="AD142" s="148"/>
      <c r="AE142" s="148"/>
      <c r="AF142" s="148"/>
      <c r="AG142" s="148"/>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c r="BI142" s="148"/>
      <c r="BJ142" s="148"/>
      <c r="BK142" s="148"/>
    </row>
    <row r="143" spans="1:63" ht="15.75" hidden="1" customHeight="1" x14ac:dyDescent="0.25">
      <c r="A143" s="19"/>
      <c r="D143" s="12"/>
      <c r="E143" s="12"/>
      <c r="F143" s="12"/>
      <c r="G143" s="12"/>
      <c r="H143" s="19"/>
      <c r="I143" s="252"/>
      <c r="J143" s="310"/>
      <c r="K143" s="311"/>
      <c r="L143" s="311"/>
      <c r="M143" s="368"/>
      <c r="N143" s="369"/>
      <c r="O143" s="370"/>
      <c r="P143" s="148"/>
      <c r="Q143" s="177"/>
      <c r="R143" s="177"/>
      <c r="S143" s="177"/>
      <c r="T143" s="148"/>
      <c r="U143" s="148"/>
      <c r="V143" s="148"/>
      <c r="W143" s="148"/>
      <c r="X143" s="148"/>
      <c r="Y143" s="148"/>
      <c r="Z143" s="148"/>
      <c r="AA143" s="148"/>
      <c r="AB143" s="148"/>
      <c r="AC143" s="148"/>
      <c r="AD143" s="148"/>
      <c r="AE143" s="148"/>
      <c r="AF143" s="148"/>
      <c r="AG143" s="148"/>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c r="BI143" s="148"/>
      <c r="BJ143" s="148"/>
      <c r="BK143" s="148"/>
    </row>
    <row r="144" spans="1:63" hidden="1" x14ac:dyDescent="0.25">
      <c r="A144" s="19"/>
      <c r="D144" s="63">
        <f>SUMIF($G$223:$G$253,$G144,$F$223:$F$254)</f>
        <v>2016</v>
      </c>
      <c r="E144" s="110">
        <f>F144-11</f>
        <v>25</v>
      </c>
      <c r="F144" s="110">
        <f>G144*12</f>
        <v>36</v>
      </c>
      <c r="G144" s="95">
        <v>3</v>
      </c>
      <c r="H144" s="19"/>
      <c r="I144" s="252"/>
      <c r="J144" s="334" t="str">
        <f>IF(F235="YES",CONCATENATE("Year ",G144," Interest"),CONCATENATE(D144," Interest Paid"))</f>
        <v>2016 Interest Paid</v>
      </c>
      <c r="K144" s="335"/>
      <c r="L144" s="335"/>
      <c r="M144" s="336">
        <f>IF(F235="YES",-CUMIPMT(M$122/12,M$123,M$121,$E144,$F144,0),SUMIF($F$223:$F$254,$D144,M$223:M$254))</f>
        <v>7631.7673469652964</v>
      </c>
      <c r="N144" s="371"/>
      <c r="O144" s="338">
        <f>IF($F$40="YES",-CUMIPMT(M$122/12,M$123,M$121,$E144,$F144,0),SUMIF($F$223:$F$254,$D144,M$223:M$254))</f>
        <v>7631.7673469652964</v>
      </c>
      <c r="P144" s="148"/>
      <c r="Q144" s="177"/>
      <c r="R144" s="177"/>
      <c r="S144" s="177"/>
      <c r="T144" s="148"/>
      <c r="U144" s="148"/>
      <c r="V144" s="148"/>
      <c r="W144" s="148"/>
      <c r="X144" s="148"/>
      <c r="Y144" s="148"/>
      <c r="Z144" s="148"/>
      <c r="AA144" s="148"/>
      <c r="AB144" s="148"/>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c r="BI144" s="148"/>
      <c r="BJ144" s="148"/>
      <c r="BK144" s="148"/>
    </row>
    <row r="145" spans="1:63" hidden="1" x14ac:dyDescent="0.25">
      <c r="A145" s="19"/>
      <c r="C145" s="114"/>
      <c r="D145" s="72"/>
      <c r="E145" s="57"/>
      <c r="F145" s="12"/>
      <c r="G145" s="12"/>
      <c r="H145" s="19"/>
      <c r="I145" s="252"/>
      <c r="J145" s="310" t="s">
        <v>104</v>
      </c>
      <c r="K145" s="311"/>
      <c r="L145" s="311"/>
      <c r="M145" s="339">
        <f>M$33</f>
        <v>0.25</v>
      </c>
      <c r="N145" s="340"/>
      <c r="O145" s="341"/>
      <c r="P145" s="148"/>
      <c r="Q145" s="177"/>
      <c r="R145" s="177"/>
      <c r="S145" s="177"/>
      <c r="T145" s="148"/>
      <c r="U145" s="148"/>
      <c r="V145" s="148"/>
      <c r="W145" s="148"/>
      <c r="X145" s="148"/>
      <c r="Y145" s="148"/>
      <c r="Z145" s="148"/>
      <c r="AA145" s="148"/>
      <c r="AB145" s="148"/>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c r="BI145" s="148"/>
      <c r="BJ145" s="148"/>
      <c r="BK145" s="148"/>
    </row>
    <row r="146" spans="1:63" ht="15.75" hidden="1" x14ac:dyDescent="0.25">
      <c r="A146" s="19"/>
      <c r="C146" s="68"/>
      <c r="D146" s="68"/>
      <c r="E146" s="68"/>
      <c r="F146" s="21"/>
      <c r="G146" s="24"/>
      <c r="H146" s="19"/>
      <c r="I146" s="252"/>
      <c r="J146" s="342" t="s">
        <v>105</v>
      </c>
      <c r="K146" s="343"/>
      <c r="L146" s="343"/>
      <c r="M146" s="344">
        <f>IF(M145&lt;=$D$118,M144*M145,MIN($C$118,M144*M145))</f>
        <v>1907.9418367413241</v>
      </c>
      <c r="N146" s="345"/>
      <c r="O146" s="346"/>
      <c r="P146" s="148"/>
      <c r="Q146" s="177"/>
      <c r="R146" s="177"/>
      <c r="S146" s="177"/>
      <c r="T146" s="372"/>
      <c r="U146" s="372"/>
      <c r="V146" s="148"/>
      <c r="W146" s="148"/>
      <c r="X146" s="148"/>
      <c r="Y146" s="148"/>
      <c r="Z146" s="148"/>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c r="BI146" s="148"/>
      <c r="BJ146" s="148"/>
      <c r="BK146" s="148"/>
    </row>
    <row r="147" spans="1:63" ht="6" hidden="1" customHeight="1" x14ac:dyDescent="0.25">
      <c r="A147" s="19"/>
      <c r="D147" s="12"/>
      <c r="E147" s="12"/>
      <c r="F147" s="12"/>
      <c r="G147" s="12"/>
      <c r="H147" s="19"/>
      <c r="I147" s="347">
        <f>SUM(M147:T147)</f>
        <v>0</v>
      </c>
      <c r="J147" s="310"/>
      <c r="K147" s="311"/>
      <c r="L147" s="311"/>
      <c r="M147" s="348" t="str">
        <f>IF($F$40="YES",IF(ROUND(M144-SUMIF($G$271:$G$632,$G144,M$271:M$632),2)=0,"",M144-SUMIF($G$271:$G$632,$G144,M$271:M$632)),IF(ROUND(M144-SUMIF($F$271:$F$632,$D144,M$271:M$632),2)=0,"",M144-SUMIF($F$271:$F$632,$D144,M$271:M$632)))</f>
        <v/>
      </c>
      <c r="N147" s="349"/>
      <c r="O147" s="350" t="str">
        <f>IF(OR(M152=$G$219,M145&lt;=$D$118),"",IF(M146=$C$118,M158-($C$118*(1-M154)),""))</f>
        <v/>
      </c>
      <c r="P147" s="148"/>
      <c r="Q147" s="177"/>
      <c r="R147" s="177"/>
      <c r="S147" s="177"/>
      <c r="T147" s="148"/>
      <c r="U147" s="148"/>
      <c r="V147" s="148"/>
      <c r="W147" s="148"/>
      <c r="X147" s="148"/>
      <c r="Y147" s="148"/>
      <c r="Z147" s="148"/>
      <c r="AA147" s="148"/>
      <c r="AB147" s="148"/>
      <c r="AC147" s="148"/>
      <c r="AD147" s="148"/>
      <c r="AE147" s="148"/>
      <c r="AF147" s="148"/>
      <c r="AG147" s="148"/>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c r="BI147" s="148"/>
      <c r="BJ147" s="148"/>
      <c r="BK147" s="148"/>
    </row>
    <row r="148" spans="1:63" hidden="1" x14ac:dyDescent="0.25">
      <c r="A148" s="19"/>
      <c r="C148" s="111">
        <f>$M$28</f>
        <v>0.98188807538734257</v>
      </c>
      <c r="D148" s="12"/>
      <c r="E148" s="18"/>
      <c r="F148" s="24"/>
      <c r="G148" s="57"/>
      <c r="H148" s="19"/>
      <c r="I148" s="237"/>
      <c r="J148" s="310" t="s">
        <v>106</v>
      </c>
      <c r="K148" s="311"/>
      <c r="L148" s="311"/>
      <c r="M148" s="351">
        <f>M29</f>
        <v>68000</v>
      </c>
      <c r="N148" s="352"/>
      <c r="O148" s="353">
        <f>M148</f>
        <v>68000</v>
      </c>
      <c r="P148" s="148"/>
      <c r="Q148" s="177"/>
      <c r="R148" s="177"/>
      <c r="S148" s="177"/>
      <c r="T148" s="261"/>
      <c r="U148" s="261"/>
      <c r="V148" s="297"/>
      <c r="W148" s="148"/>
      <c r="X148" s="148"/>
      <c r="Y148" s="148"/>
      <c r="Z148" s="291"/>
      <c r="AA148" s="177"/>
      <c r="AB148" s="292"/>
      <c r="AC148" s="293"/>
      <c r="AD148" s="288"/>
      <c r="AE148" s="148"/>
      <c r="AF148" s="148"/>
      <c r="AG148" s="148"/>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row>
    <row r="149" spans="1:63" hidden="1" x14ac:dyDescent="0.25">
      <c r="A149" s="19"/>
      <c r="C149" s="112" t="s">
        <v>107</v>
      </c>
      <c r="D149" s="112" t="s">
        <v>97</v>
      </c>
      <c r="E149" s="112" t="s">
        <v>108</v>
      </c>
      <c r="F149" s="113" t="s">
        <v>109</v>
      </c>
      <c r="G149" s="112" t="s">
        <v>110</v>
      </c>
      <c r="H149" s="19"/>
      <c r="I149" s="252"/>
      <c r="J149" s="310" t="s">
        <v>111</v>
      </c>
      <c r="K149" s="311"/>
      <c r="L149" s="311"/>
      <c r="M149" s="354">
        <f>M148*$D$200</f>
        <v>3400</v>
      </c>
      <c r="N149" s="352"/>
      <c r="O149" s="353">
        <f>O148*$D$200</f>
        <v>3400</v>
      </c>
      <c r="P149" s="148"/>
      <c r="Q149" s="177"/>
      <c r="R149" s="177"/>
      <c r="S149" s="177"/>
      <c r="T149" s="291"/>
      <c r="U149" s="291"/>
      <c r="V149" s="148"/>
      <c r="W149" s="148"/>
      <c r="X149" s="148"/>
      <c r="Y149" s="148"/>
      <c r="Z149" s="294"/>
      <c r="AA149" s="294"/>
      <c r="AB149" s="294"/>
      <c r="AC149" s="295"/>
      <c r="AD149" s="294"/>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c r="BI149" s="148"/>
      <c r="BJ149" s="148"/>
      <c r="BK149" s="148"/>
    </row>
    <row r="150" spans="1:63" hidden="1" x14ac:dyDescent="0.25">
      <c r="A150" s="19"/>
      <c r="C150" s="57">
        <f>M144-M146</f>
        <v>5723.8255102239727</v>
      </c>
      <c r="D150" s="57">
        <f>$M$27*$C$124</f>
        <v>2673.4207959134956</v>
      </c>
      <c r="E150" s="57">
        <f>M148*$E$122</f>
        <v>680</v>
      </c>
      <c r="F150" s="114">
        <f>(M150-(SUM(C150:E150)+M146)-($E$124*$G$122))*$C$122</f>
        <v>3696.9197684125907</v>
      </c>
      <c r="G150" s="57">
        <f>SUM(C150:F150)</f>
        <v>12774.166074550059</v>
      </c>
      <c r="H150" s="19"/>
      <c r="I150" s="241">
        <f>IF(OR(AND($I152=$C$28,M152=$F$124),$I152=$C$29,M152=$G$124),"N/A",G150-M152+AE150)</f>
        <v>0</v>
      </c>
      <c r="J150" s="310" t="s">
        <v>112</v>
      </c>
      <c r="K150" s="311"/>
      <c r="L150" s="311"/>
      <c r="M150" s="354">
        <f>M148-M149</f>
        <v>64600</v>
      </c>
      <c r="N150" s="352"/>
      <c r="O150" s="353">
        <f>O148-O149</f>
        <v>64600</v>
      </c>
      <c r="P150" s="148"/>
      <c r="Q150" s="177"/>
      <c r="R150" s="177"/>
      <c r="S150" s="177"/>
      <c r="T150" s="148"/>
      <c r="U150" s="148"/>
      <c r="V150" s="148"/>
      <c r="W150" s="148"/>
      <c r="X150" s="148"/>
      <c r="Y150" s="148"/>
      <c r="Z150" s="288"/>
      <c r="AA150" s="288"/>
      <c r="AB150" s="288"/>
      <c r="AC150" s="296"/>
      <c r="AD150" s="288"/>
      <c r="AE150" s="296"/>
      <c r="AF150" s="148"/>
      <c r="AG150" s="148"/>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c r="BI150" s="148"/>
      <c r="BJ150" s="148"/>
      <c r="BK150" s="148"/>
    </row>
    <row r="151" spans="1:63" hidden="1" x14ac:dyDescent="0.25">
      <c r="A151" s="19"/>
      <c r="C151" s="57">
        <f>M144</f>
        <v>7631.7673469652964</v>
      </c>
      <c r="D151" s="57">
        <f>$M$27*$C$124</f>
        <v>2673.4207959134956</v>
      </c>
      <c r="E151" s="57">
        <f>M148*$E$122</f>
        <v>680</v>
      </c>
      <c r="F151" s="114">
        <f>(M150-(SUM(C151:E151))-($E$124*$G$122))*$C$122</f>
        <v>3696.9197684125907</v>
      </c>
      <c r="G151" s="57">
        <f>SUM(C151:F151)</f>
        <v>14682.107911291383</v>
      </c>
      <c r="H151" s="19"/>
      <c r="I151" s="241">
        <f>IF(OR(AND($I152=$C$28,M152=$F$124),$I153=$C$29,M152=$G$124),"N/A",G151-O152+AE151)</f>
        <v>0</v>
      </c>
      <c r="J151" s="310" t="s">
        <v>113</v>
      </c>
      <c r="K151" s="311"/>
      <c r="L151" s="311"/>
      <c r="M151" s="354">
        <f>($F$122*$G$122)</f>
        <v>7800</v>
      </c>
      <c r="N151" s="352"/>
      <c r="O151" s="353">
        <f>($F$122*$G$122)</f>
        <v>7800</v>
      </c>
      <c r="P151" s="148"/>
      <c r="Q151" s="177"/>
      <c r="R151" s="177"/>
      <c r="S151" s="177"/>
      <c r="T151" s="148"/>
      <c r="U151" s="148"/>
      <c r="V151" s="148"/>
      <c r="W151" s="148"/>
      <c r="X151" s="148"/>
      <c r="Y151" s="148"/>
      <c r="Z151" s="288"/>
      <c r="AA151" s="288"/>
      <c r="AB151" s="288"/>
      <c r="AC151" s="296"/>
      <c r="AD151" s="288"/>
      <c r="AE151" s="296"/>
      <c r="AF151" s="148"/>
      <c r="AG151" s="148"/>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c r="BI151" s="148"/>
      <c r="BJ151" s="148"/>
      <c r="BK151" s="148"/>
    </row>
    <row r="152" spans="1:63" hidden="1" x14ac:dyDescent="0.25">
      <c r="A152" s="19"/>
      <c r="C152" s="122" t="str">
        <f>$C$135</f>
        <v>2013 SINGLE Federal Tax Table Rates</v>
      </c>
      <c r="D152" s="122"/>
      <c r="E152" s="122"/>
      <c r="F152" s="122"/>
      <c r="G152" s="122"/>
      <c r="H152" s="19"/>
      <c r="I152" s="357" t="str">
        <f>$D$26</f>
        <v>Single</v>
      </c>
      <c r="J152" s="310" t="s">
        <v>115</v>
      </c>
      <c r="K152" s="311"/>
      <c r="L152" s="311"/>
      <c r="M152" s="351">
        <f>IF($I152=$C$28,MAX($F$124,(((M148*(1-$D$122))-($E$124*$G$122)-((M$121/$C$148)*$C$124)-(M148*$E$122)-M144)*$C$122)+((M$121/$C$148)*$C$124)+(M144-M146)+(M148*$E$122)),IF($I$135=$C$29,MAX($G$124,(((M148*(1-$D$122))-($E$124*$G$122)-((M$121/$C$148)*$C$124)-(M148*$E$122)-M144)*$C$122)+((M$121/$C$148)*$C$124)+(M144-M146)+(M148*$E$122)),"CHECK"))</f>
        <v>12774.166074550059</v>
      </c>
      <c r="N152" s="352"/>
      <c r="O152" s="353">
        <f>IF($I152=$C$28,MAX($F$124,(((O148*(1-$D$122))-($E$124*$G$122)-((O$121/$C$148)*$C$124)-(O148*$E$122)-O144)*$C$122)+((O$121/$C$148)*$C$124)+(O144-O146)+(O148*$E$122)),IF($I$135=$C$29,MAX($G$124,(((O148*(1-$D$122))-($E$124*$G$122)-((O$121/$C$148)*$C$124)-(O148*$E$122)-O144)*$C$122)+((O$121/$C$148)*$C$124)+(O144-O146)+(O148*$E$122)),"CHECK"))</f>
        <v>14682.107911291383</v>
      </c>
      <c r="P152" s="148"/>
      <c r="Q152" s="177"/>
      <c r="R152" s="177"/>
      <c r="S152" s="177"/>
      <c r="T152" s="148"/>
      <c r="U152" s="148"/>
      <c r="V152" s="296"/>
      <c r="W152" s="148"/>
      <c r="X152" s="148"/>
      <c r="Y152" s="148"/>
      <c r="Z152" s="148"/>
      <c r="AA152" s="148"/>
      <c r="AB152" s="148"/>
      <c r="AC152" s="148"/>
      <c r="AD152" s="148"/>
      <c r="AE152" s="148"/>
      <c r="AF152" s="148"/>
      <c r="AG152" s="148"/>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c r="BI152" s="148"/>
      <c r="BJ152" s="148"/>
      <c r="BK152" s="148"/>
    </row>
    <row r="153" spans="1:63" hidden="1" x14ac:dyDescent="0.25">
      <c r="A153" s="19"/>
      <c r="C153" s="111"/>
      <c r="D153" s="69">
        <f>D$136</f>
        <v>0.1</v>
      </c>
      <c r="E153" s="69">
        <f>E$136</f>
        <v>0.15</v>
      </c>
      <c r="F153" s="69">
        <f>F$136</f>
        <v>0.25</v>
      </c>
      <c r="G153" s="69">
        <f>G$136</f>
        <v>0.28000000000000003</v>
      </c>
      <c r="H153" s="19"/>
      <c r="I153" s="356"/>
      <c r="J153" s="310" t="s">
        <v>116</v>
      </c>
      <c r="K153" s="311"/>
      <c r="L153" s="311"/>
      <c r="M153" s="354">
        <f>M150-SUM(M151:M152)</f>
        <v>44025.833925449944</v>
      </c>
      <c r="N153" s="313"/>
      <c r="O153" s="353">
        <f>O150-SUM(O151:O152)</f>
        <v>42117.892088708613</v>
      </c>
      <c r="P153" s="148"/>
      <c r="Q153" s="177"/>
      <c r="R153" s="177"/>
      <c r="S153" s="177"/>
      <c r="T153" s="148"/>
      <c r="U153" s="148"/>
      <c r="V153" s="148"/>
      <c r="W153" s="148"/>
      <c r="X153" s="148"/>
      <c r="Y153" s="148"/>
      <c r="Z153" s="148"/>
      <c r="AA153" s="148"/>
      <c r="AB153" s="148"/>
      <c r="AC153" s="148"/>
      <c r="AD153" s="148"/>
      <c r="AE153" s="148"/>
      <c r="AF153" s="148"/>
      <c r="AG153" s="148"/>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c r="BI153" s="148"/>
      <c r="BJ153" s="148"/>
      <c r="BK153" s="148"/>
    </row>
    <row r="154" spans="1:63" hidden="1" x14ac:dyDescent="0.25">
      <c r="A154" s="19"/>
      <c r="C154" s="72">
        <v>0</v>
      </c>
      <c r="D154" s="72">
        <f>D$137</f>
        <v>8925</v>
      </c>
      <c r="E154" s="72">
        <v>35350</v>
      </c>
      <c r="F154" s="72">
        <v>85650</v>
      </c>
      <c r="G154" s="72">
        <v>178650</v>
      </c>
      <c r="H154" s="19"/>
      <c r="I154" s="357" t="str">
        <f>$F$30</f>
        <v>NO</v>
      </c>
      <c r="J154" s="310" t="s">
        <v>117</v>
      </c>
      <c r="K154" s="311"/>
      <c r="L154" s="311"/>
      <c r="M154" s="339">
        <f>IF($I154="YES",$G$30,IF($I152=$C$28,IF(M153&gt;$F154,$G153,IF(M153&gt;$E154,$F153,IF(M153&gt;$D154,$E153,"CHECK"))),IF($I152=$C$29,IF(M153&gt;$E158,$F157,IF(M153&gt;$D158,$E157,IF(M153&gt;$C158,$D157,"CHECK"))))))</f>
        <v>0.25</v>
      </c>
      <c r="N154" s="340"/>
      <c r="O154" s="341">
        <f>IF($I154="YES",$G$30,IF($I152=$C$28,IF(O153&gt;$F154,$G153,IF(O153&gt;$E154,$F153,IF(O153&gt;$D154,$E153,"CHECK"))),IF($I152=$C$29,IF(O153&gt;$E158,$F157,IF(O153&gt;$D158,$E157,IF(O153&gt;$C158,$D153,"CHECK"))))))</f>
        <v>0.25</v>
      </c>
      <c r="P154" s="148"/>
      <c r="Q154" s="177"/>
      <c r="R154" s="177"/>
      <c r="S154" s="177"/>
      <c r="T154" s="148"/>
      <c r="U154" s="148"/>
      <c r="V154" s="148"/>
      <c r="W154" s="148"/>
      <c r="X154" s="148"/>
      <c r="Y154" s="148"/>
      <c r="Z154" s="148"/>
      <c r="AA154" s="148"/>
      <c r="AB154" s="148"/>
      <c r="AC154" s="148"/>
      <c r="AD154" s="148"/>
      <c r="AE154" s="148"/>
      <c r="AF154" s="148"/>
      <c r="AG154" s="148"/>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c r="BI154" s="148"/>
      <c r="BJ154" s="148"/>
      <c r="BK154" s="148"/>
    </row>
    <row r="155" spans="1:63" hidden="1" x14ac:dyDescent="0.25">
      <c r="A155" s="19"/>
      <c r="C155" s="118"/>
      <c r="D155" s="119">
        <f>D$138</f>
        <v>0</v>
      </c>
      <c r="E155" s="119">
        <f>E$138</f>
        <v>892.5</v>
      </c>
      <c r="F155" s="119">
        <f>F$138</f>
        <v>4991.25</v>
      </c>
      <c r="G155" s="119">
        <f>G$138</f>
        <v>17891.25</v>
      </c>
      <c r="H155" s="19"/>
      <c r="I155" s="358">
        <f>IF(AND(M154=D153,O154=D153),((M155-(M153*M154))+(O155-(O153*O154))),0)+IF(AND(Q154=D153,S154=D153),((Q155-(Q153*Q154))+(S155-(S153*S154))),0)</f>
        <v>0</v>
      </c>
      <c r="J155" s="310" t="str">
        <f>CONCATENATE("Tax Table Taxes (",$I$135,")")</f>
        <v>Tax Table Taxes (Single)</v>
      </c>
      <c r="K155" s="311"/>
      <c r="L155" s="311"/>
      <c r="M155" s="354">
        <f>IF($I$135=$C$28,IF(M153&gt;$F154,$G155+((M153-$F154)*$G153),IF(M153&gt;$E154,$F155+((M153-$E154)*$F153),IF(M153&gt;$D154,$D155+((M153-$D154)*$E153),"CHCK"))),IF($I$135=$C$29,IF(M153&gt;$E158,$F159+((M153-$E158)*$F157),IF(M153&gt;$D158,$E159+((M153-$D158)*$E157),IF(M153&gt;$C158,$C159+((M153-$C158)*$D157),"CHEK"))),"CHEK"))</f>
        <v>7160.2084813624861</v>
      </c>
      <c r="N155" s="313"/>
      <c r="O155" s="353">
        <f>IF($I$135=$C$28,IF(O153&gt;$F154,$G155+((O153-$F154)*$G153),IF(O153&gt;$E154,$F155+((O153-$E154)*$F153),IF(O153&gt;$D154,$D155+((O153-$D154)*$E153),"CHCK"))),IF($I$135=$C$29,IF(O153&gt;$E158,$F159+((O153-$E158)*$F157),IF(O153&gt;$D158,$E159+((O153-$D158)*$E157),IF(O153&gt;$C158,$C159+((O153-$C158)*$D157),"CHEK"))),"CHEK"))</f>
        <v>6683.2230221771533</v>
      </c>
      <c r="P155" s="148"/>
      <c r="Q155" s="177"/>
      <c r="R155" s="177"/>
      <c r="S155" s="177"/>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c r="BI155" s="148"/>
      <c r="BJ155" s="148"/>
      <c r="BK155" s="148"/>
    </row>
    <row r="156" spans="1:63" hidden="1" x14ac:dyDescent="0.25">
      <c r="A156" s="19"/>
      <c r="C156" s="123" t="str">
        <f>$C$139</f>
        <v>2013 MARRIED Federal Tax Table Rates</v>
      </c>
      <c r="D156" s="122"/>
      <c r="E156" s="122"/>
      <c r="F156" s="122"/>
      <c r="G156" s="122"/>
      <c r="H156" s="19"/>
      <c r="I156" s="252"/>
      <c r="J156" s="310" t="s">
        <v>119</v>
      </c>
      <c r="K156" s="311"/>
      <c r="L156" s="311"/>
      <c r="M156" s="354">
        <f>-M146</f>
        <v>-1907.9418367413241</v>
      </c>
      <c r="N156" s="313"/>
      <c r="O156" s="373">
        <v>0</v>
      </c>
      <c r="P156" s="148"/>
      <c r="Q156" s="177"/>
      <c r="R156" s="177"/>
      <c r="S156" s="177"/>
      <c r="T156" s="148"/>
      <c r="U156" s="148"/>
      <c r="V156" s="148"/>
      <c r="W156" s="148"/>
      <c r="X156" s="148"/>
      <c r="Y156" s="148"/>
      <c r="Z156" s="148"/>
      <c r="AA156" s="148"/>
      <c r="AB156" s="148"/>
      <c r="AC156" s="148"/>
      <c r="AD156" s="148"/>
      <c r="AE156" s="148"/>
      <c r="AF156" s="148"/>
      <c r="AG156" s="148"/>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c r="BI156" s="148"/>
      <c r="BJ156" s="148"/>
      <c r="BK156" s="148"/>
    </row>
    <row r="157" spans="1:63" hidden="1" x14ac:dyDescent="0.25">
      <c r="A157" s="19"/>
      <c r="C157" s="111"/>
      <c r="D157" s="69">
        <f>D$140</f>
        <v>0.1</v>
      </c>
      <c r="E157" s="69">
        <f>E$140</f>
        <v>0.15</v>
      </c>
      <c r="F157" s="69">
        <f>F$140</f>
        <v>0.25</v>
      </c>
      <c r="G157" s="69">
        <f>G$140</f>
        <v>0.28000000000000003</v>
      </c>
      <c r="H157" s="19"/>
      <c r="I157" s="252"/>
      <c r="J157" s="342" t="s">
        <v>120</v>
      </c>
      <c r="K157" s="343"/>
      <c r="L157" s="343"/>
      <c r="M157" s="360">
        <f>M155+M156</f>
        <v>5252.2666446211624</v>
      </c>
      <c r="N157" s="361"/>
      <c r="O157" s="362">
        <f>O155+O156</f>
        <v>6683.2230221771533</v>
      </c>
      <c r="P157" s="148"/>
      <c r="Q157" s="177"/>
      <c r="R157" s="177"/>
      <c r="S157" s="177"/>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row>
    <row r="158" spans="1:63" hidden="1" x14ac:dyDescent="0.25">
      <c r="A158" s="19"/>
      <c r="C158" s="72">
        <v>0</v>
      </c>
      <c r="D158" s="72">
        <f>D$141</f>
        <v>17850</v>
      </c>
      <c r="E158" s="72">
        <f>E$141</f>
        <v>72500</v>
      </c>
      <c r="F158" s="72">
        <f>F$141</f>
        <v>146400</v>
      </c>
      <c r="G158" s="72">
        <f>G$141</f>
        <v>233050</v>
      </c>
      <c r="H158" s="19"/>
      <c r="I158" s="252"/>
      <c r="J158" s="342" t="s">
        <v>121</v>
      </c>
      <c r="K158" s="343"/>
      <c r="L158" s="343"/>
      <c r="M158" s="360">
        <f>O157-M157</f>
        <v>1430.9563775559909</v>
      </c>
      <c r="N158" s="361"/>
      <c r="O158" s="341"/>
      <c r="P158" s="148"/>
      <c r="Q158" s="177"/>
      <c r="R158" s="177"/>
      <c r="S158" s="177"/>
      <c r="T158" s="148"/>
      <c r="U158" s="148"/>
      <c r="V158" s="148"/>
      <c r="W158" s="148"/>
      <c r="X158" s="148"/>
      <c r="Y158" s="148"/>
      <c r="Z158" s="148"/>
      <c r="AA158" s="148"/>
      <c r="AB158" s="148"/>
      <c r="AC158" s="148"/>
      <c r="AD158" s="148"/>
      <c r="AE158" s="148"/>
      <c r="AF158" s="148"/>
      <c r="AG158" s="148"/>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c r="BI158" s="148"/>
      <c r="BJ158" s="148"/>
      <c r="BK158" s="148"/>
    </row>
    <row r="159" spans="1:63" ht="15.75" hidden="1" thickBot="1" x14ac:dyDescent="0.3">
      <c r="A159" s="19"/>
      <c r="C159" s="118"/>
      <c r="D159" s="119">
        <f>D$138</f>
        <v>0</v>
      </c>
      <c r="E159" s="119">
        <f>E$138</f>
        <v>892.5</v>
      </c>
      <c r="F159" s="119">
        <f>F$138</f>
        <v>4991.25</v>
      </c>
      <c r="G159" s="119">
        <f>G$138</f>
        <v>17891.25</v>
      </c>
      <c r="H159" s="19"/>
      <c r="I159" s="252"/>
      <c r="J159" s="363" t="s">
        <v>122</v>
      </c>
      <c r="K159" s="364"/>
      <c r="L159" s="364"/>
      <c r="M159" s="365">
        <f>M158/12</f>
        <v>119.24636479633257</v>
      </c>
      <c r="N159" s="366"/>
      <c r="O159" s="367"/>
      <c r="P159" s="148"/>
      <c r="Q159" s="177"/>
      <c r="R159" s="177"/>
      <c r="S159" s="177"/>
      <c r="T159" s="148"/>
      <c r="U159" s="148"/>
      <c r="V159" s="148"/>
      <c r="W159" s="148"/>
      <c r="X159" s="148"/>
      <c r="Y159" s="148"/>
      <c r="Z159" s="148"/>
      <c r="AA159" s="148"/>
      <c r="AB159" s="148"/>
      <c r="AC159" s="148"/>
      <c r="AD159" s="148"/>
      <c r="AE159" s="148"/>
      <c r="AF159" s="148"/>
      <c r="AG159" s="148"/>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c r="BI159" s="148"/>
      <c r="BJ159" s="148"/>
      <c r="BK159" s="148"/>
    </row>
    <row r="160" spans="1:63" ht="15.75" hidden="1" customHeight="1" x14ac:dyDescent="0.25">
      <c r="A160" s="19"/>
      <c r="D160" s="12"/>
      <c r="E160" s="12"/>
      <c r="F160" s="12"/>
      <c r="G160" s="12"/>
      <c r="H160" s="19"/>
      <c r="I160" s="252"/>
      <c r="J160" s="310"/>
      <c r="K160" s="311"/>
      <c r="L160" s="311"/>
      <c r="M160" s="368"/>
      <c r="N160" s="369"/>
      <c r="O160" s="370"/>
      <c r="P160" s="148"/>
      <c r="Q160" s="177"/>
      <c r="R160" s="177"/>
      <c r="S160" s="177"/>
      <c r="T160" s="148"/>
      <c r="U160" s="148"/>
      <c r="V160" s="148"/>
      <c r="W160" s="148"/>
      <c r="X160" s="148"/>
      <c r="Y160" s="148"/>
      <c r="Z160" s="148"/>
      <c r="AA160" s="148"/>
      <c r="AB160" s="148"/>
      <c r="AC160" s="148"/>
      <c r="AD160" s="148"/>
      <c r="AE160" s="148"/>
      <c r="AF160" s="148"/>
      <c r="AG160" s="148"/>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c r="BI160" s="148"/>
      <c r="BJ160" s="148"/>
      <c r="BK160" s="148"/>
    </row>
    <row r="161" spans="1:63" hidden="1" x14ac:dyDescent="0.25">
      <c r="A161" s="19"/>
      <c r="D161" s="63">
        <f>SUMIF($G$223:$G$253,$G161,$F$223:$F$254)</f>
        <v>2018</v>
      </c>
      <c r="E161" s="110">
        <f>F161-11</f>
        <v>49</v>
      </c>
      <c r="F161" s="110">
        <f>G161*12</f>
        <v>60</v>
      </c>
      <c r="G161" s="95">
        <v>5</v>
      </c>
      <c r="H161" s="19"/>
      <c r="I161" s="252"/>
      <c r="J161" s="334" t="str">
        <f>IF(F248="YES",CONCATENATE("Year ",G161," Interest"),CONCATENATE(D161," Interest Paid"))</f>
        <v>2018 Interest Paid</v>
      </c>
      <c r="K161" s="335"/>
      <c r="L161" s="335"/>
      <c r="M161" s="336">
        <f>IF(F248="YES",-CUMIPMT(M$122/12,M$123,M$121,$E161,$F161,0),SUMIF($F$223:$F$254,$D161,M$223:M$254))</f>
        <v>7348.9864083932644</v>
      </c>
      <c r="N161" s="371"/>
      <c r="O161" s="338">
        <f>IF($F$40="YES",-CUMIPMT(M$122/12,M$123,M$121,$E161,$F161,0),SUMIF($F$223:$F$254,$D161,M$223:M$254))</f>
        <v>7348.9864083932644</v>
      </c>
      <c r="P161" s="148"/>
      <c r="Q161" s="177"/>
      <c r="R161" s="177"/>
      <c r="S161" s="177"/>
      <c r="T161" s="292"/>
      <c r="U161" s="292"/>
      <c r="V161" s="148"/>
      <c r="W161" s="148"/>
      <c r="X161" s="148"/>
      <c r="Y161" s="148"/>
      <c r="Z161" s="148"/>
      <c r="AA161" s="148"/>
      <c r="AB161" s="148"/>
      <c r="AC161" s="148"/>
      <c r="AD161" s="148"/>
      <c r="AE161" s="148"/>
      <c r="AF161" s="148"/>
      <c r="AG161" s="148"/>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c r="BI161" s="148"/>
      <c r="BJ161" s="148"/>
      <c r="BK161" s="148"/>
    </row>
    <row r="162" spans="1:63" hidden="1" x14ac:dyDescent="0.25">
      <c r="A162" s="19"/>
      <c r="D162" s="12"/>
      <c r="E162" s="12"/>
      <c r="F162" s="12"/>
      <c r="G162" s="12"/>
      <c r="H162" s="19"/>
      <c r="I162" s="252"/>
      <c r="J162" s="310" t="s">
        <v>104</v>
      </c>
      <c r="K162" s="311"/>
      <c r="L162" s="311"/>
      <c r="M162" s="339">
        <f>M$33</f>
        <v>0.25</v>
      </c>
      <c r="N162" s="340"/>
      <c r="O162" s="341"/>
      <c r="P162" s="148"/>
      <c r="Q162" s="177"/>
      <c r="R162" s="177"/>
      <c r="S162" s="177"/>
      <c r="T162" s="148"/>
      <c r="U162" s="148"/>
      <c r="V162" s="148"/>
      <c r="W162" s="148"/>
      <c r="X162" s="148"/>
      <c r="Y162" s="148"/>
      <c r="Z162" s="148"/>
      <c r="AA162" s="148"/>
      <c r="AB162" s="148"/>
      <c r="AC162" s="148"/>
      <c r="AD162" s="148"/>
      <c r="AE162" s="148"/>
      <c r="AF162" s="148"/>
      <c r="AG162" s="148"/>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c r="BI162" s="148"/>
      <c r="BJ162" s="148"/>
      <c r="BK162" s="148"/>
    </row>
    <row r="163" spans="1:63" ht="15.75" hidden="1" x14ac:dyDescent="0.25">
      <c r="A163" s="19"/>
      <c r="D163" s="12"/>
      <c r="E163" s="12"/>
      <c r="F163" s="12"/>
      <c r="G163" s="12"/>
      <c r="H163" s="19"/>
      <c r="I163" s="252"/>
      <c r="J163" s="342" t="s">
        <v>105</v>
      </c>
      <c r="K163" s="343"/>
      <c r="L163" s="343"/>
      <c r="M163" s="344">
        <f>IF(M162&lt;=$D$118,M161*M162,MIN($C$118,M161*M162))</f>
        <v>1837.2466020983161</v>
      </c>
      <c r="N163" s="345"/>
      <c r="O163" s="346"/>
      <c r="P163" s="148"/>
      <c r="Q163" s="177"/>
      <c r="R163" s="177"/>
      <c r="S163" s="177"/>
      <c r="T163" s="148"/>
      <c r="U163" s="148"/>
      <c r="V163" s="148"/>
      <c r="W163" s="148"/>
      <c r="X163" s="148"/>
      <c r="Y163" s="148"/>
      <c r="Z163" s="148"/>
      <c r="AA163" s="148"/>
      <c r="AB163" s="148"/>
      <c r="AC163" s="148"/>
      <c r="AD163" s="148"/>
      <c r="AE163" s="148"/>
      <c r="AF163" s="148"/>
      <c r="AG163" s="148"/>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c r="BI163" s="148"/>
      <c r="BJ163" s="148"/>
      <c r="BK163" s="148"/>
    </row>
    <row r="164" spans="1:63" ht="6" hidden="1" customHeight="1" x14ac:dyDescent="0.25">
      <c r="A164" s="19"/>
      <c r="D164" s="12"/>
      <c r="E164" s="12"/>
      <c r="F164" s="12"/>
      <c r="G164" s="12"/>
      <c r="H164" s="19"/>
      <c r="I164" s="347">
        <f>SUM(M164:T164)</f>
        <v>0</v>
      </c>
      <c r="J164" s="310"/>
      <c r="K164" s="311"/>
      <c r="L164" s="311"/>
      <c r="M164" s="348" t="str">
        <f>IF($F$40="YES",IF(ROUND(M161-SUMIF($G$271:$G$632,$G161,M$271:M$632),2)=0,"",M161-SUMIF($G$271:$G$632,$G161,M$271:M$632)),IF(ROUND(M161-SUMIF($F$271:$F$632,$D161,M$271:M$632),2)=0,"",M161-SUMIF($F$271:$F$632,$D161,M$271:M$632)))</f>
        <v/>
      </c>
      <c r="N164" s="349"/>
      <c r="O164" s="350" t="str">
        <f>IF(OR(M169=$G$219,M162&lt;=$D$118),"",IF(M163=$C$118,M175-($C$118*(1-M171)),""))</f>
        <v/>
      </c>
      <c r="P164" s="148"/>
      <c r="Q164" s="177"/>
      <c r="R164" s="177"/>
      <c r="S164" s="177"/>
      <c r="T164" s="148"/>
      <c r="U164" s="148"/>
      <c r="V164" s="148"/>
      <c r="W164" s="148"/>
      <c r="X164" s="148"/>
      <c r="Y164" s="148"/>
      <c r="Z164" s="148"/>
      <c r="AA164" s="148"/>
      <c r="AB164" s="148"/>
      <c r="AC164" s="148"/>
      <c r="AD164" s="148"/>
      <c r="AE164" s="148"/>
      <c r="AF164" s="148"/>
      <c r="AG164" s="148"/>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c r="BI164" s="148"/>
      <c r="BJ164" s="148"/>
      <c r="BK164" s="148"/>
    </row>
    <row r="165" spans="1:63" hidden="1" x14ac:dyDescent="0.25">
      <c r="A165" s="19"/>
      <c r="C165" s="111">
        <f>$M$28</f>
        <v>0.98188807538734257</v>
      </c>
      <c r="D165" s="12"/>
      <c r="E165" s="18"/>
      <c r="F165" s="24"/>
      <c r="G165" s="57"/>
      <c r="H165" s="19"/>
      <c r="I165" s="237"/>
      <c r="J165" s="310" t="s">
        <v>106</v>
      </c>
      <c r="K165" s="311"/>
      <c r="L165" s="311"/>
      <c r="M165" s="351">
        <f>M29</f>
        <v>68000</v>
      </c>
      <c r="N165" s="352"/>
      <c r="O165" s="353">
        <f>M165</f>
        <v>68000</v>
      </c>
      <c r="P165" s="148"/>
      <c r="Q165" s="177"/>
      <c r="R165" s="177"/>
      <c r="S165" s="177"/>
      <c r="T165" s="148"/>
      <c r="U165" s="148"/>
      <c r="V165" s="148"/>
      <c r="W165" s="148"/>
      <c r="X165" s="148"/>
      <c r="Y165" s="148"/>
      <c r="Z165" s="291"/>
      <c r="AA165" s="177"/>
      <c r="AB165" s="292"/>
      <c r="AC165" s="293"/>
      <c r="AD165" s="288"/>
      <c r="AE165" s="148"/>
      <c r="AF165" s="148"/>
      <c r="AG165" s="148"/>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row>
    <row r="166" spans="1:63" hidden="1" x14ac:dyDescent="0.25">
      <c r="A166" s="19"/>
      <c r="C166" s="112" t="s">
        <v>107</v>
      </c>
      <c r="D166" s="112" t="s">
        <v>97</v>
      </c>
      <c r="E166" s="112" t="s">
        <v>108</v>
      </c>
      <c r="F166" s="113" t="s">
        <v>109</v>
      </c>
      <c r="G166" s="112" t="s">
        <v>110</v>
      </c>
      <c r="H166" s="19"/>
      <c r="I166" s="252"/>
      <c r="J166" s="310" t="s">
        <v>111</v>
      </c>
      <c r="K166" s="311"/>
      <c r="L166" s="311"/>
      <c r="M166" s="354">
        <f>M165*$D$200</f>
        <v>3400</v>
      </c>
      <c r="N166" s="352"/>
      <c r="O166" s="353">
        <f>O165*$D$200</f>
        <v>3400</v>
      </c>
      <c r="P166" s="148"/>
      <c r="Q166" s="177"/>
      <c r="R166" s="177"/>
      <c r="S166" s="177"/>
      <c r="T166" s="148"/>
      <c r="U166" s="148"/>
      <c r="V166" s="148"/>
      <c r="W166" s="148"/>
      <c r="X166" s="148"/>
      <c r="Y166" s="148"/>
      <c r="Z166" s="294"/>
      <c r="AA166" s="294"/>
      <c r="AB166" s="294"/>
      <c r="AC166" s="295"/>
      <c r="AD166" s="294"/>
      <c r="AE166" s="148"/>
      <c r="AF166" s="148"/>
      <c r="AG166" s="148"/>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row>
    <row r="167" spans="1:63" hidden="1" x14ac:dyDescent="0.25">
      <c r="A167" s="19"/>
      <c r="C167" s="57">
        <f>M161-M163</f>
        <v>5511.7398062949487</v>
      </c>
      <c r="D167" s="57">
        <f>$M$27*$C$124</f>
        <v>2673.4207959134956</v>
      </c>
      <c r="E167" s="57">
        <f>M165*$E$122</f>
        <v>680</v>
      </c>
      <c r="F167" s="114">
        <f>(M167-(SUM(C167:E167)+M163)-($E$124*$G$122))*$C$122</f>
        <v>3719.0615159027807</v>
      </c>
      <c r="G167" s="57">
        <f>SUM(C167:F167)</f>
        <v>12584.222118111225</v>
      </c>
      <c r="H167" s="19"/>
      <c r="I167" s="241">
        <f>IF(OR(AND($I169=$C$28,M169=$F$124),$I169=$C$29,M169=$G$124),"N/A",G167-M169)</f>
        <v>0</v>
      </c>
      <c r="J167" s="310" t="s">
        <v>112</v>
      </c>
      <c r="K167" s="311"/>
      <c r="L167" s="311"/>
      <c r="M167" s="354">
        <f>M165-M166</f>
        <v>64600</v>
      </c>
      <c r="N167" s="352"/>
      <c r="O167" s="353">
        <f>O165-O166</f>
        <v>64600</v>
      </c>
      <c r="P167" s="148"/>
      <c r="Q167" s="177"/>
      <c r="R167" s="177"/>
      <c r="S167" s="177"/>
      <c r="T167" s="148"/>
      <c r="U167" s="148"/>
      <c r="V167" s="148"/>
      <c r="W167" s="148"/>
      <c r="X167" s="148"/>
      <c r="Y167" s="148"/>
      <c r="Z167" s="288"/>
      <c r="AA167" s="288"/>
      <c r="AB167" s="288"/>
      <c r="AC167" s="296"/>
      <c r="AD167" s="288"/>
      <c r="AE167" s="296"/>
      <c r="AF167" s="148"/>
      <c r="AG167" s="148"/>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c r="BI167" s="148"/>
      <c r="BJ167" s="148"/>
      <c r="BK167" s="148"/>
    </row>
    <row r="168" spans="1:63" hidden="1" x14ac:dyDescent="0.25">
      <c r="A168" s="19"/>
      <c r="C168" s="57">
        <f>M161</f>
        <v>7348.9864083932644</v>
      </c>
      <c r="D168" s="57">
        <f>$M$27*$C$124</f>
        <v>2673.4207959134956</v>
      </c>
      <c r="E168" s="57">
        <f>M165*$E$122</f>
        <v>680</v>
      </c>
      <c r="F168" s="114">
        <f>(M167-(SUM(C168:E168))-($E$124*$G$122))*$C$122</f>
        <v>3719.0615159027807</v>
      </c>
      <c r="G168" s="57">
        <f>SUM(C168:F168)</f>
        <v>14421.468720209541</v>
      </c>
      <c r="H168" s="19"/>
      <c r="I168" s="241">
        <f>IF(OR(AND($I169=$C$28,M169=$F$124),$I170=$C$29,M169=$G$124),"N/A",G168-O169)</f>
        <v>0</v>
      </c>
      <c r="J168" s="310" t="s">
        <v>113</v>
      </c>
      <c r="K168" s="311"/>
      <c r="L168" s="311"/>
      <c r="M168" s="354">
        <f>($F$122*$G$122)</f>
        <v>7800</v>
      </c>
      <c r="N168" s="352"/>
      <c r="O168" s="353">
        <f>($F$122*$G$122)</f>
        <v>7800</v>
      </c>
      <c r="P168" s="148"/>
      <c r="Q168" s="177"/>
      <c r="R168" s="177"/>
      <c r="S168" s="177"/>
      <c r="T168" s="148"/>
      <c r="U168" s="148"/>
      <c r="V168" s="148"/>
      <c r="W168" s="148"/>
      <c r="X168" s="148"/>
      <c r="Y168" s="148"/>
      <c r="Z168" s="288"/>
      <c r="AA168" s="288"/>
      <c r="AB168" s="288"/>
      <c r="AC168" s="296"/>
      <c r="AD168" s="288"/>
      <c r="AE168" s="296"/>
      <c r="AF168" s="148"/>
      <c r="AG168" s="148"/>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c r="BI168" s="148"/>
      <c r="BJ168" s="148"/>
      <c r="BK168" s="148"/>
    </row>
    <row r="169" spans="1:63" hidden="1" x14ac:dyDescent="0.25">
      <c r="A169" s="19"/>
      <c r="C169" s="122" t="str">
        <f>$C$135</f>
        <v>2013 SINGLE Federal Tax Table Rates</v>
      </c>
      <c r="D169" s="122"/>
      <c r="E169" s="122"/>
      <c r="F169" s="122"/>
      <c r="G169" s="122"/>
      <c r="H169" s="19"/>
      <c r="I169" s="357" t="str">
        <f>$D$26</f>
        <v>Single</v>
      </c>
      <c r="J169" s="310" t="s">
        <v>115</v>
      </c>
      <c r="K169" s="311"/>
      <c r="L169" s="311"/>
      <c r="M169" s="351">
        <f>IF($I169=$C$28,MAX($F$124,(((M165*(1-$D$122))-($E$124*$G$122)-((M$121/$C$148)*$C$124)-(M165*$E$122)-M161)*$C$122)+((M$121/$C$148)*$C$124)+(M161-M163)+(M165*$E$122)),IF($I$135=$C$29,MAX($G$124,(((M165*(1-$D$122))-($E$124*$G$122)-((M$121/$C$148)*$C$124)-(M165*$E$122)-M161)*$C$122)+((M$121/$C$148)*$C$124)+(M161-M163)+(M165*$E$122)),"CHECK"))</f>
        <v>12584.222118111225</v>
      </c>
      <c r="N169" s="352"/>
      <c r="O169" s="353">
        <f>IF($I169=$C$28,MAX($F$124,(((O165*(1-$D$122))-($E$124*$G$122)-((O$121/$C$148)*$C$124)-(O165*$E$122)-O161)*$C$122)+((O$121/$C$148)*$C$124)+(O161-O163)+(O165*$E$122)),IF($I$135=$C$29,MAX($G$124,(((O165*(1-$D$122))-($E$124*$G$122)-((O$121/$C$148)*$C$124)-(O165*$E$122)-O161)*$C$122)+((O$121/$C$148)*$C$124)+(O161-O163)+(O165*$E$122)),"CHECK"))</f>
        <v>14421.468720209541</v>
      </c>
      <c r="P169" s="148"/>
      <c r="Q169" s="177"/>
      <c r="R169" s="177"/>
      <c r="S169" s="177"/>
      <c r="T169" s="148"/>
      <c r="U169" s="148"/>
      <c r="V169" s="148"/>
      <c r="W169" s="148"/>
      <c r="X169" s="148"/>
      <c r="Y169" s="148"/>
      <c r="Z169" s="148"/>
      <c r="AA169" s="148"/>
      <c r="AB169" s="148"/>
      <c r="AC169" s="148"/>
      <c r="AD169" s="148"/>
      <c r="AE169" s="148"/>
      <c r="AF169" s="148"/>
      <c r="AG169" s="148"/>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c r="BI169" s="148"/>
      <c r="BJ169" s="148"/>
      <c r="BK169" s="148"/>
    </row>
    <row r="170" spans="1:63" hidden="1" x14ac:dyDescent="0.25">
      <c r="A170" s="19"/>
      <c r="C170" s="111"/>
      <c r="D170" s="69">
        <f>D$136</f>
        <v>0.1</v>
      </c>
      <c r="E170" s="69">
        <f>E$136</f>
        <v>0.15</v>
      </c>
      <c r="F170" s="69">
        <f>F$136</f>
        <v>0.25</v>
      </c>
      <c r="G170" s="69">
        <f>G$136</f>
        <v>0.28000000000000003</v>
      </c>
      <c r="H170" s="19"/>
      <c r="I170" s="356"/>
      <c r="J170" s="310" t="s">
        <v>116</v>
      </c>
      <c r="K170" s="311"/>
      <c r="L170" s="311"/>
      <c r="M170" s="354">
        <f>M167-SUM(M168:M169)</f>
        <v>44215.777881888775</v>
      </c>
      <c r="N170" s="313"/>
      <c r="O170" s="353">
        <f>O167-SUM(O168:O169)</f>
        <v>42378.531279790463</v>
      </c>
      <c r="P170" s="148"/>
      <c r="Q170" s="177"/>
      <c r="R170" s="177"/>
      <c r="S170" s="177"/>
      <c r="T170" s="148"/>
      <c r="U170" s="148"/>
      <c r="V170" s="148"/>
      <c r="W170" s="148"/>
      <c r="X170" s="148"/>
      <c r="Y170" s="148"/>
      <c r="Z170" s="148"/>
      <c r="AA170" s="148"/>
      <c r="AB170" s="148"/>
      <c r="AC170" s="148"/>
      <c r="AD170" s="148"/>
      <c r="AE170" s="148"/>
      <c r="AF170" s="148"/>
      <c r="AG170" s="148"/>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c r="BI170" s="148"/>
      <c r="BJ170" s="148"/>
      <c r="BK170" s="148"/>
    </row>
    <row r="171" spans="1:63" hidden="1" x14ac:dyDescent="0.25">
      <c r="A171" s="19"/>
      <c r="C171" s="72">
        <v>0</v>
      </c>
      <c r="D171" s="72">
        <f>D$137</f>
        <v>8925</v>
      </c>
      <c r="E171" s="72">
        <v>35350</v>
      </c>
      <c r="F171" s="72">
        <v>85650</v>
      </c>
      <c r="G171" s="72">
        <v>178650</v>
      </c>
      <c r="H171" s="19"/>
      <c r="I171" s="357" t="str">
        <f>$F$30</f>
        <v>NO</v>
      </c>
      <c r="J171" s="310" t="s">
        <v>117</v>
      </c>
      <c r="K171" s="311"/>
      <c r="L171" s="311"/>
      <c r="M171" s="339">
        <f>IF($I171="YES",$G$30,IF($I169=$C$28,IF(M170&gt;$F171,$G170,IF(M170&gt;$E171,$F170,IF(M170&gt;$D171,$E170,"CHECK"))),IF($I169=$C$29,IF(M170&gt;$E175,$F174,IF(M170&gt;$D175,$E174,IF(M170&gt;$C175,$D174,"CHECK"))))))</f>
        <v>0.25</v>
      </c>
      <c r="N171" s="340"/>
      <c r="O171" s="341">
        <f>IF($I171="YES",$G$30,IF($I169=$C$28,IF(O170&gt;$F171,$G170,IF(O170&gt;$E171,$F170,IF(O170&gt;$D171,$E170,"CHECK"))),IF($I169=$C$29,IF(O170&gt;$E175,$F174,IF(O170&gt;$D175,$E174,IF(O170&gt;$C175,$D170,"CHECK"))))))</f>
        <v>0.25</v>
      </c>
      <c r="P171" s="148"/>
      <c r="Q171" s="177"/>
      <c r="R171" s="177"/>
      <c r="S171" s="177"/>
      <c r="T171" s="148"/>
      <c r="U171" s="148"/>
      <c r="V171" s="148"/>
      <c r="W171" s="148"/>
      <c r="X171" s="148"/>
      <c r="Y171" s="148"/>
      <c r="Z171" s="148"/>
      <c r="AA171" s="148"/>
      <c r="AB171" s="148"/>
      <c r="AC171" s="148"/>
      <c r="AD171" s="148"/>
      <c r="AE171" s="148"/>
      <c r="AF171" s="148"/>
      <c r="AG171" s="148"/>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c r="BI171" s="148"/>
      <c r="BJ171" s="148"/>
      <c r="BK171" s="148"/>
    </row>
    <row r="172" spans="1:63" hidden="1" x14ac:dyDescent="0.25">
      <c r="A172" s="19"/>
      <c r="C172" s="118"/>
      <c r="D172" s="119">
        <f>D$138</f>
        <v>0</v>
      </c>
      <c r="E172" s="119">
        <f>E$138</f>
        <v>892.5</v>
      </c>
      <c r="F172" s="119">
        <f>F$138</f>
        <v>4991.25</v>
      </c>
      <c r="G172" s="119">
        <f>G$138</f>
        <v>17891.25</v>
      </c>
      <c r="H172" s="19"/>
      <c r="I172" s="358">
        <f>IF(AND(M171=D170,O171=D170),((M172-(M170*M171))+(O172-(O170*O171))),0)+IF(AND(Q171=D170,S171=D170),((Q172-(Q170*Q171))+(S172-(S170*S171))),0)</f>
        <v>0</v>
      </c>
      <c r="J172" s="310" t="str">
        <f>CONCATENATE("Tax Table Taxes (",$I$135,")")</f>
        <v>Tax Table Taxes (Single)</v>
      </c>
      <c r="K172" s="311"/>
      <c r="L172" s="311"/>
      <c r="M172" s="354">
        <f>IF($I$135=$C$28,IF(M170&gt;$F171,$G172+((M170-$F171)*$G170),IF(M170&gt;$E171,$F172+((M170-$E171)*$F170),IF(M170&gt;$D171,$D172+((M170-$D171)*$E170),"CHCK"))),IF($I$135=$C$29,IF(M170&gt;$E175,$F176+((M170-$E175)*$F174),IF(M170&gt;$D175,$E176+((M170-$D175)*$E174),IF(M170&gt;$C175,$C176+((M170-$C175)*$D174),"CHEK"))),"CHEK"))</f>
        <v>7207.6944704721936</v>
      </c>
      <c r="N172" s="313"/>
      <c r="O172" s="353">
        <f>IF($I$135=$C$28,IF(O170&gt;$F171,$G172+((O170-$F171)*$G170),IF(O170&gt;$E171,$F172+((O170-$E171)*$F170),IF(O170&gt;$D171,$D172+((O170-$D171)*$E170),"CHCK"))),IF($I$135=$C$29,IF(O170&gt;$E175,$F176+((O170-$E175)*$F174),IF(O170&gt;$D175,$E176+((O170-$D175)*$E174),IF(O170&gt;$C175,$C176+((O170-$C175)*$D174),"CHEK"))),"CHEK"))</f>
        <v>6748.3828199476156</v>
      </c>
      <c r="P172" s="148"/>
      <c r="Q172" s="177"/>
      <c r="R172" s="177"/>
      <c r="S172" s="177"/>
      <c r="T172" s="148"/>
      <c r="U172" s="148"/>
      <c r="V172" s="148"/>
      <c r="W172" s="148"/>
      <c r="X172" s="148"/>
      <c r="Y172" s="148"/>
      <c r="Z172" s="148"/>
      <c r="AA172" s="148"/>
      <c r="AB172" s="148"/>
      <c r="AC172" s="148"/>
      <c r="AD172" s="148"/>
      <c r="AE172" s="148"/>
      <c r="AF172" s="148"/>
      <c r="AG172" s="148"/>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c r="BI172" s="148"/>
      <c r="BJ172" s="148"/>
      <c r="BK172" s="148"/>
    </row>
    <row r="173" spans="1:63" hidden="1" x14ac:dyDescent="0.25">
      <c r="A173" s="19"/>
      <c r="C173" s="123" t="str">
        <f>$C$139</f>
        <v>2013 MARRIED Federal Tax Table Rates</v>
      </c>
      <c r="D173" s="122"/>
      <c r="E173" s="122"/>
      <c r="F173" s="122"/>
      <c r="G173" s="122"/>
      <c r="H173" s="19"/>
      <c r="I173" s="252"/>
      <c r="J173" s="310" t="s">
        <v>119</v>
      </c>
      <c r="K173" s="311"/>
      <c r="L173" s="311"/>
      <c r="M173" s="354">
        <f>-M163</f>
        <v>-1837.2466020983161</v>
      </c>
      <c r="N173" s="313"/>
      <c r="O173" s="373">
        <v>0</v>
      </c>
      <c r="P173" s="148"/>
      <c r="Q173" s="177"/>
      <c r="R173" s="177"/>
      <c r="S173" s="177"/>
      <c r="T173" s="148"/>
      <c r="U173" s="148"/>
      <c r="V173" s="148"/>
      <c r="W173" s="148"/>
      <c r="X173" s="148"/>
      <c r="Y173" s="148"/>
      <c r="Z173" s="148"/>
      <c r="AA173" s="148"/>
      <c r="AB173" s="148"/>
      <c r="AC173" s="148"/>
      <c r="AD173" s="148"/>
      <c r="AE173" s="148"/>
      <c r="AF173" s="148"/>
      <c r="AG173" s="148"/>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c r="BI173" s="148"/>
      <c r="BJ173" s="148"/>
      <c r="BK173" s="148"/>
    </row>
    <row r="174" spans="1:63" hidden="1" x14ac:dyDescent="0.25">
      <c r="A174" s="19"/>
      <c r="C174" s="111"/>
      <c r="D174" s="69">
        <f>D$140</f>
        <v>0.1</v>
      </c>
      <c r="E174" s="69">
        <f>E$140</f>
        <v>0.15</v>
      </c>
      <c r="F174" s="69">
        <f>F$140</f>
        <v>0.25</v>
      </c>
      <c r="G174" s="69">
        <f>G$140</f>
        <v>0.28000000000000003</v>
      </c>
      <c r="H174" s="19"/>
      <c r="I174" s="252"/>
      <c r="J174" s="342" t="s">
        <v>120</v>
      </c>
      <c r="K174" s="343"/>
      <c r="L174" s="343"/>
      <c r="M174" s="360">
        <f>M172+M173</f>
        <v>5370.447868373878</v>
      </c>
      <c r="N174" s="361"/>
      <c r="O174" s="362">
        <f>O172+O173</f>
        <v>6748.3828199476156</v>
      </c>
      <c r="P174" s="148"/>
      <c r="Q174" s="177"/>
      <c r="R174" s="177"/>
      <c r="S174" s="177"/>
      <c r="T174" s="148"/>
      <c r="U174" s="148"/>
      <c r="V174" s="148"/>
      <c r="W174" s="148"/>
      <c r="X174" s="148"/>
      <c r="Y174" s="148"/>
      <c r="Z174" s="148"/>
      <c r="AA174" s="148"/>
      <c r="AB174" s="148"/>
      <c r="AC174" s="148"/>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c r="BI174" s="148"/>
      <c r="BJ174" s="148"/>
      <c r="BK174" s="148"/>
    </row>
    <row r="175" spans="1:63" hidden="1" x14ac:dyDescent="0.25">
      <c r="A175" s="19"/>
      <c r="C175" s="72">
        <v>0</v>
      </c>
      <c r="D175" s="72">
        <f>D$141</f>
        <v>17850</v>
      </c>
      <c r="E175" s="72">
        <f>E$141</f>
        <v>72500</v>
      </c>
      <c r="F175" s="72">
        <f>F$141</f>
        <v>146400</v>
      </c>
      <c r="G175" s="72">
        <f>G$141</f>
        <v>233050</v>
      </c>
      <c r="H175" s="19"/>
      <c r="I175" s="252"/>
      <c r="J175" s="342" t="s">
        <v>121</v>
      </c>
      <c r="K175" s="343"/>
      <c r="L175" s="343"/>
      <c r="M175" s="360">
        <f>O174-M174</f>
        <v>1377.9349515737376</v>
      </c>
      <c r="N175" s="361"/>
      <c r="O175" s="341"/>
      <c r="P175" s="148"/>
      <c r="Q175" s="177"/>
      <c r="R175" s="177"/>
      <c r="S175" s="177"/>
      <c r="T175" s="148"/>
      <c r="U175" s="148"/>
      <c r="V175" s="148"/>
      <c r="W175" s="148"/>
      <c r="X175" s="148"/>
      <c r="Y175" s="148"/>
      <c r="Z175" s="148"/>
      <c r="AA175" s="148"/>
      <c r="AB175" s="148"/>
      <c r="AC175" s="148"/>
      <c r="AD175" s="148"/>
      <c r="AE175" s="148"/>
      <c r="AF175" s="148"/>
      <c r="AG175" s="148"/>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c r="BI175" s="148"/>
      <c r="BJ175" s="148"/>
      <c r="BK175" s="148"/>
    </row>
    <row r="176" spans="1:63" ht="15.75" hidden="1" thickBot="1" x14ac:dyDescent="0.3">
      <c r="A176" s="19"/>
      <c r="C176" s="118"/>
      <c r="D176" s="119">
        <f>D$138</f>
        <v>0</v>
      </c>
      <c r="E176" s="119">
        <f>E$138</f>
        <v>892.5</v>
      </c>
      <c r="F176" s="119">
        <f>F$138</f>
        <v>4991.25</v>
      </c>
      <c r="G176" s="119">
        <f>G$138</f>
        <v>17891.25</v>
      </c>
      <c r="H176" s="19"/>
      <c r="I176" s="252"/>
      <c r="J176" s="363" t="s">
        <v>122</v>
      </c>
      <c r="K176" s="364"/>
      <c r="L176" s="364"/>
      <c r="M176" s="365">
        <f>M175/12</f>
        <v>114.8279126311448</v>
      </c>
      <c r="N176" s="366"/>
      <c r="O176" s="367"/>
      <c r="P176" s="148"/>
      <c r="Q176" s="177"/>
      <c r="R176" s="177"/>
      <c r="S176" s="177"/>
      <c r="T176" s="148"/>
      <c r="U176" s="148"/>
      <c r="V176" s="148"/>
      <c r="W176" s="148"/>
      <c r="X176" s="148"/>
      <c r="Y176" s="148"/>
      <c r="Z176" s="148"/>
      <c r="AA176" s="148"/>
      <c r="AB176" s="148"/>
      <c r="AC176" s="148"/>
      <c r="AD176" s="148"/>
      <c r="AE176" s="148"/>
      <c r="AF176" s="148"/>
      <c r="AG176" s="148"/>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c r="BI176" s="148"/>
      <c r="BJ176" s="148"/>
      <c r="BK176" s="148"/>
    </row>
    <row r="177" spans="1:63" ht="6" hidden="1" customHeight="1" x14ac:dyDescent="0.25">
      <c r="A177" s="19"/>
      <c r="D177" s="12"/>
      <c r="E177" s="12"/>
      <c r="F177" s="12"/>
      <c r="G177" s="12"/>
      <c r="H177" s="19"/>
      <c r="I177" s="252"/>
      <c r="J177" s="177"/>
      <c r="K177" s="177"/>
      <c r="L177" s="177"/>
      <c r="M177" s="177"/>
      <c r="N177" s="177"/>
      <c r="O177" s="177"/>
      <c r="P177" s="148"/>
      <c r="Q177" s="177"/>
      <c r="R177" s="177"/>
      <c r="S177" s="177"/>
      <c r="T177" s="148"/>
      <c r="U177" s="148"/>
      <c r="V177" s="148"/>
      <c r="W177" s="148"/>
      <c r="X177" s="148"/>
      <c r="Y177" s="148"/>
      <c r="Z177" s="148"/>
      <c r="AA177" s="148"/>
      <c r="AB177" s="148"/>
      <c r="AC177" s="148"/>
      <c r="AD177" s="148"/>
      <c r="AE177" s="148"/>
      <c r="AF177" s="148"/>
      <c r="AG177" s="148"/>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c r="BI177" s="148"/>
      <c r="BJ177" s="148"/>
      <c r="BK177" s="148"/>
    </row>
    <row r="178" spans="1:63" hidden="1" x14ac:dyDescent="0.25">
      <c r="A178" s="19"/>
      <c r="D178" s="12"/>
      <c r="E178" s="12"/>
      <c r="F178" s="12"/>
      <c r="G178" s="12"/>
      <c r="H178" s="19"/>
      <c r="I178" s="252"/>
      <c r="J178" s="177"/>
      <c r="K178" s="177"/>
      <c r="L178" s="177"/>
      <c r="M178" s="177"/>
      <c r="N178" s="177"/>
      <c r="O178" s="177"/>
      <c r="P178" s="148"/>
      <c r="Q178" s="177"/>
      <c r="R178" s="177"/>
      <c r="S178" s="177"/>
      <c r="T178" s="148"/>
      <c r="U178" s="148"/>
      <c r="V178" s="148"/>
      <c r="W178" s="148"/>
      <c r="X178" s="148"/>
      <c r="Y178" s="148"/>
      <c r="Z178" s="148"/>
      <c r="AA178" s="148"/>
      <c r="AB178" s="148"/>
      <c r="AC178" s="148"/>
      <c r="AD178" s="148"/>
      <c r="AE178" s="148"/>
      <c r="AF178" s="148"/>
      <c r="AG178" s="148"/>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c r="BI178" s="148"/>
      <c r="BJ178" s="148"/>
      <c r="BK178" s="148"/>
    </row>
    <row r="179" spans="1:63" hidden="1" x14ac:dyDescent="0.25">
      <c r="A179" s="19"/>
      <c r="D179" s="12"/>
      <c r="E179" s="12"/>
      <c r="F179" s="12"/>
      <c r="G179" s="12"/>
      <c r="H179" s="19"/>
      <c r="I179" s="252"/>
      <c r="J179" s="177"/>
      <c r="K179" s="177"/>
      <c r="L179" s="177"/>
      <c r="M179" s="177"/>
      <c r="N179" s="177"/>
      <c r="O179" s="177"/>
      <c r="P179" s="148"/>
      <c r="Q179" s="177"/>
      <c r="R179" s="177"/>
      <c r="S179" s="177"/>
      <c r="T179" s="148"/>
      <c r="U179" s="148"/>
      <c r="V179" s="148"/>
      <c r="W179" s="148"/>
      <c r="X179" s="148"/>
      <c r="Y179" s="148"/>
      <c r="Z179" s="148"/>
      <c r="AA179" s="148"/>
      <c r="AB179" s="148"/>
      <c r="AC179" s="148"/>
      <c r="AD179" s="148"/>
      <c r="AE179" s="148"/>
      <c r="AF179" s="148"/>
      <c r="AG179" s="148"/>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c r="BI179" s="148"/>
      <c r="BJ179" s="148"/>
      <c r="BK179" s="148"/>
    </row>
    <row r="180" spans="1:63" hidden="1" x14ac:dyDescent="0.25">
      <c r="A180" s="19"/>
      <c r="D180" s="63">
        <f>SUMIF($G$223:$G$253,$G180,$F$223:$F$254)</f>
        <v>2014</v>
      </c>
      <c r="E180" s="110">
        <f>F180-11</f>
        <v>1</v>
      </c>
      <c r="F180" s="110">
        <f>G180*12</f>
        <v>12</v>
      </c>
      <c r="G180" s="124">
        <f>G40</f>
        <v>1</v>
      </c>
      <c r="H180" s="19"/>
      <c r="I180" s="252"/>
      <c r="J180" s="374" t="str">
        <f>IF(F263="YES",CONCATENATE("Year ",G180," Interest"),CONCATENATE(D180," Interest Paid"))</f>
        <v>2014 Interest Paid</v>
      </c>
      <c r="K180" s="374"/>
      <c r="L180" s="374"/>
      <c r="M180" s="375">
        <f>IF(F263="YES",-CUMIPMT(M$122/12,M$123,M$121,$E180,$F180,0),SUMIF($F$223:$F$254,$D180,M$223:M$254))</f>
        <v>3272.5756838023922</v>
      </c>
      <c r="N180" s="375"/>
      <c r="O180" s="375">
        <f>IF($F$40="YES",-CUMIPMT(M$122/12,M$123,M$121,$E180,$F180,0),SUMIF($F$223:$F$254,$D180,M$223:M$254))</f>
        <v>3272.5756838023922</v>
      </c>
      <c r="P180" s="292"/>
      <c r="Q180" s="177"/>
      <c r="R180" s="177"/>
      <c r="S180" s="177"/>
      <c r="T180" s="292"/>
      <c r="U180" s="292"/>
      <c r="V180" s="148"/>
      <c r="W180" s="148"/>
      <c r="X180" s="148"/>
      <c r="Y180" s="148"/>
      <c r="Z180" s="148"/>
      <c r="AA180" s="148"/>
      <c r="AB180" s="148"/>
      <c r="AC180" s="148"/>
      <c r="AD180" s="148"/>
      <c r="AE180" s="148"/>
      <c r="AF180" s="148"/>
      <c r="AG180" s="148"/>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c r="BI180" s="148"/>
      <c r="BJ180" s="148"/>
      <c r="BK180" s="148"/>
    </row>
    <row r="181" spans="1:63" hidden="1" x14ac:dyDescent="0.25">
      <c r="A181" s="19"/>
      <c r="D181" s="12"/>
      <c r="E181" s="12"/>
      <c r="F181" s="12"/>
      <c r="G181" s="12"/>
      <c r="H181" s="19"/>
      <c r="I181" s="252"/>
      <c r="J181" s="177" t="s">
        <v>104</v>
      </c>
      <c r="K181" s="177"/>
      <c r="L181" s="177"/>
      <c r="M181" s="376">
        <f>M$33</f>
        <v>0.25</v>
      </c>
      <c r="N181" s="376"/>
      <c r="O181" s="376"/>
      <c r="P181" s="148"/>
      <c r="Q181" s="177"/>
      <c r="R181" s="177"/>
      <c r="S181" s="177"/>
      <c r="T181" s="148"/>
      <c r="U181" s="148"/>
      <c r="V181" s="148"/>
      <c r="W181" s="148"/>
      <c r="X181" s="148"/>
      <c r="Y181" s="148"/>
      <c r="Z181" s="148"/>
      <c r="AA181" s="148"/>
      <c r="AB181" s="148"/>
      <c r="AC181" s="148"/>
      <c r="AD181" s="148"/>
      <c r="AE181" s="148"/>
      <c r="AF181" s="148"/>
      <c r="AG181" s="148"/>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c r="BI181" s="148"/>
      <c r="BJ181" s="148"/>
      <c r="BK181" s="148"/>
    </row>
    <row r="182" spans="1:63" hidden="1" x14ac:dyDescent="0.25">
      <c r="A182" s="19"/>
      <c r="D182" s="12"/>
      <c r="E182" s="12"/>
      <c r="F182" s="12"/>
      <c r="G182" s="12"/>
      <c r="H182" s="19"/>
      <c r="I182" s="252"/>
      <c r="J182" s="374" t="s">
        <v>105</v>
      </c>
      <c r="K182" s="374"/>
      <c r="L182" s="374"/>
      <c r="M182" s="377">
        <f>IF(M181&lt;=$D$118,M180*M181,MIN($C$118,M180*M181))</f>
        <v>818.14392095059804</v>
      </c>
      <c r="N182" s="377"/>
      <c r="O182" s="300"/>
      <c r="P182" s="148"/>
      <c r="Q182" s="177"/>
      <c r="R182" s="177"/>
      <c r="S182" s="177"/>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c r="BI182" s="148"/>
      <c r="BJ182" s="148"/>
      <c r="BK182" s="148"/>
    </row>
    <row r="183" spans="1:63" ht="8.1" hidden="1" customHeight="1" x14ac:dyDescent="0.25">
      <c r="A183" s="19"/>
      <c r="D183" s="12"/>
      <c r="E183" s="12"/>
      <c r="F183" s="12"/>
      <c r="G183" s="12"/>
      <c r="H183" s="19"/>
      <c r="I183" s="347">
        <f>SUM(M183:T183)</f>
        <v>0</v>
      </c>
      <c r="J183" s="177"/>
      <c r="K183" s="177"/>
      <c r="L183" s="177"/>
      <c r="M183" s="349" t="str">
        <f>IF($F$40="YES",IF(ROUND(M180-SUMIF($G$271:$G$632,$G180,M$271:M$632),2)=0,"",M180-SUMIF($G$271:$G$632,$G180,M$271:M$632)),IF(ROUND(M180-SUMIF($F$271:$F$632,$D180,M$271:M$632),2)=0,"",M180-SUMIF($F$271:$F$632,$D180,M$271:M$632)))</f>
        <v/>
      </c>
      <c r="N183" s="349"/>
      <c r="O183" s="349" t="str">
        <f>IF(M181&lt;=$D$118,"",IF(M182=$C$118,M194-($C$118*(1-M190)),""))</f>
        <v/>
      </c>
      <c r="P183" s="148"/>
      <c r="Q183" s="177"/>
      <c r="R183" s="177"/>
      <c r="S183" s="177"/>
      <c r="T183" s="148"/>
      <c r="U183" s="148"/>
      <c r="V183" s="148"/>
      <c r="W183" s="148"/>
      <c r="X183" s="148"/>
      <c r="Y183" s="148"/>
      <c r="Z183" s="148"/>
      <c r="AA183" s="148"/>
      <c r="AB183" s="148"/>
      <c r="AC183" s="148"/>
      <c r="AD183" s="148"/>
      <c r="AE183" s="148"/>
      <c r="AF183" s="148"/>
      <c r="AG183" s="148"/>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c r="BI183" s="148"/>
      <c r="BJ183" s="148"/>
      <c r="BK183" s="148"/>
    </row>
    <row r="184" spans="1:63" hidden="1" x14ac:dyDescent="0.25">
      <c r="A184" s="19"/>
      <c r="D184" s="12"/>
      <c r="E184" s="12"/>
      <c r="F184" s="12"/>
      <c r="G184" s="12"/>
      <c r="H184" s="19"/>
      <c r="I184" s="252"/>
      <c r="J184" s="177" t="s">
        <v>106</v>
      </c>
      <c r="K184" s="177"/>
      <c r="L184" s="177"/>
      <c r="M184" s="298">
        <f>M29</f>
        <v>68000</v>
      </c>
      <c r="N184" s="298"/>
      <c r="O184" s="268">
        <f>M184</f>
        <v>68000</v>
      </c>
      <c r="P184" s="148"/>
      <c r="Q184" s="177"/>
      <c r="R184" s="177"/>
      <c r="S184" s="177"/>
      <c r="T184" s="148"/>
      <c r="U184" s="148"/>
      <c r="V184" s="148"/>
      <c r="W184" s="148"/>
      <c r="X184" s="148"/>
      <c r="Y184" s="148"/>
      <c r="Z184" s="148"/>
      <c r="AA184" s="148"/>
      <c r="AB184" s="148"/>
      <c r="AC184" s="148"/>
      <c r="AD184" s="148"/>
      <c r="AE184" s="148"/>
      <c r="AF184" s="148"/>
      <c r="AG184" s="148"/>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c r="BI184" s="148"/>
      <c r="BJ184" s="148"/>
      <c r="BK184" s="148"/>
    </row>
    <row r="185" spans="1:63" hidden="1" x14ac:dyDescent="0.25">
      <c r="A185" s="19"/>
      <c r="D185" s="12"/>
      <c r="E185" s="12"/>
      <c r="F185" s="12"/>
      <c r="G185" s="12"/>
      <c r="H185" s="19"/>
      <c r="I185" s="252"/>
      <c r="J185" s="378" t="s">
        <v>111</v>
      </c>
      <c r="K185" s="378"/>
      <c r="L185" s="378"/>
      <c r="M185" s="313">
        <f>M184*$D$200</f>
        <v>3400</v>
      </c>
      <c r="N185" s="298"/>
      <c r="O185" s="313">
        <f>O184*$D$200</f>
        <v>3400</v>
      </c>
      <c r="P185" s="148"/>
      <c r="Q185" s="177"/>
      <c r="R185" s="177"/>
      <c r="S185" s="177"/>
      <c r="T185" s="148"/>
      <c r="U185" s="148"/>
      <c r="V185" s="148"/>
      <c r="W185" s="148"/>
      <c r="X185" s="148"/>
      <c r="Y185" s="148"/>
      <c r="Z185" s="148"/>
      <c r="AA185" s="148"/>
      <c r="AB185" s="148"/>
      <c r="AC185" s="148"/>
      <c r="AD185" s="148"/>
      <c r="AE185" s="148"/>
      <c r="AF185" s="148"/>
      <c r="AG185" s="148"/>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c r="BI185" s="148"/>
      <c r="BJ185" s="148"/>
      <c r="BK185" s="148"/>
    </row>
    <row r="186" spans="1:63" hidden="1" x14ac:dyDescent="0.25">
      <c r="A186" s="19"/>
      <c r="D186" s="12"/>
      <c r="E186" s="12"/>
      <c r="F186" s="12"/>
      <c r="G186" s="12"/>
      <c r="H186" s="19"/>
      <c r="I186" s="252"/>
      <c r="J186" s="378" t="s">
        <v>112</v>
      </c>
      <c r="K186" s="378"/>
      <c r="L186" s="378"/>
      <c r="M186" s="313">
        <f>M184-M185</f>
        <v>64600</v>
      </c>
      <c r="N186" s="298"/>
      <c r="O186" s="313">
        <f>O184-O185</f>
        <v>64600</v>
      </c>
      <c r="P186" s="148"/>
      <c r="Q186" s="177"/>
      <c r="R186" s="177"/>
      <c r="S186" s="177"/>
      <c r="T186" s="148"/>
      <c r="U186" s="148"/>
      <c r="V186" s="148"/>
      <c r="W186" s="148"/>
      <c r="X186" s="148"/>
      <c r="Y186" s="148"/>
      <c r="Z186" s="148"/>
      <c r="AA186" s="148"/>
      <c r="AB186" s="148"/>
      <c r="AC186" s="148"/>
      <c r="AD186" s="148"/>
      <c r="AE186" s="148"/>
      <c r="AF186" s="148"/>
      <c r="AG186" s="148"/>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c r="BI186" s="148"/>
      <c r="BJ186" s="148"/>
      <c r="BK186" s="148"/>
    </row>
    <row r="187" spans="1:63" hidden="1" x14ac:dyDescent="0.25">
      <c r="A187" s="19"/>
      <c r="D187" s="12"/>
      <c r="E187" s="12"/>
      <c r="F187" s="12"/>
      <c r="G187" s="12"/>
      <c r="H187" s="19"/>
      <c r="I187" s="252"/>
      <c r="J187" s="378" t="s">
        <v>113</v>
      </c>
      <c r="K187" s="378"/>
      <c r="L187" s="378"/>
      <c r="M187" s="313">
        <f>($F$122*$G$122)</f>
        <v>7800</v>
      </c>
      <c r="N187" s="298"/>
      <c r="O187" s="313">
        <f>($F$122*$G$122)</f>
        <v>7800</v>
      </c>
      <c r="P187" s="148"/>
      <c r="Q187" s="177"/>
      <c r="R187" s="177"/>
      <c r="S187" s="177"/>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row>
    <row r="188" spans="1:63" hidden="1" x14ac:dyDescent="0.25">
      <c r="A188" s="19"/>
      <c r="C188" s="122" t="str">
        <f>$C$135</f>
        <v>2013 SINGLE Federal Tax Table Rates</v>
      </c>
      <c r="D188" s="122"/>
      <c r="E188" s="122"/>
      <c r="F188" s="122"/>
      <c r="G188" s="122"/>
      <c r="H188" s="19"/>
      <c r="I188" s="357" t="str">
        <f>$D$26</f>
        <v>Single</v>
      </c>
      <c r="J188" s="378" t="s">
        <v>115</v>
      </c>
      <c r="K188" s="378"/>
      <c r="L188" s="378"/>
      <c r="M188" s="313">
        <f>IF($I188=$C$28,MAX($F$124,(((M184*(1-$D$122))-($E$124*$G$122)-((M$121/$C$148)*$C$124)-(M184*$E$122)-M180)*$C$122)+((M$121/$C$148)*$C$124)+(M180-M182)+(M184*$E$122)),IF($I$135=$C$29,MAX($G$124,(((M184*(1-$D$122))-($E$124*$G$122)-((M$121/$C$148)*$C$124)-(M184*$E$122)-M180)*$C$122)+((M$121/$C$148)*$C$124)+(M180-M182)+(M184*$E$122)),"CHECK"))</f>
        <v>9846.0970344035359</v>
      </c>
      <c r="N188" s="298"/>
      <c r="O188" s="313">
        <f>IF($I188=$C$28,MAX($F$124,(((O184*(1-$D$122))-($E$124*$G$122)-((O$121/$C$148)*$C$124)-(O184*$E$122)-O180)*$C$122)+((O$121/$C$148)*$C$124)+(O180-O182)+(O184*$E$122)),IF($I$135=$C$29,MAX($G$124,(((O184*(1-$D$122))-($E$124*$G$122)-((O$121/$C$148)*$C$124)-(O184*$E$122)-O180)*$C$122)+((O$121/$C$148)*$C$124)+(O180-O182)+(O184*$E$122)),"CHECK"))</f>
        <v>10664.240955354133</v>
      </c>
      <c r="P188" s="148"/>
      <c r="Q188" s="177"/>
      <c r="R188" s="177"/>
      <c r="S188" s="177"/>
      <c r="T188" s="148"/>
      <c r="U188" s="148"/>
      <c r="V188" s="148"/>
      <c r="W188" s="148"/>
      <c r="X188" s="148"/>
      <c r="Y188" s="148"/>
      <c r="Z188" s="148"/>
      <c r="AA188" s="148"/>
      <c r="AB188" s="148"/>
      <c r="AC188" s="148"/>
      <c r="AD188" s="148"/>
      <c r="AE188" s="148"/>
      <c r="AF188" s="148"/>
      <c r="AG188" s="148"/>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row>
    <row r="189" spans="1:63" hidden="1" x14ac:dyDescent="0.25">
      <c r="A189" s="19"/>
      <c r="C189" s="111"/>
      <c r="D189" s="69">
        <f>D$136</f>
        <v>0.1</v>
      </c>
      <c r="E189" s="69">
        <f>E$136</f>
        <v>0.15</v>
      </c>
      <c r="F189" s="69">
        <f>F$136</f>
        <v>0.25</v>
      </c>
      <c r="G189" s="69">
        <f>G$136</f>
        <v>0.28000000000000003</v>
      </c>
      <c r="H189" s="19"/>
      <c r="I189" s="356"/>
      <c r="J189" s="378" t="s">
        <v>116</v>
      </c>
      <c r="K189" s="378"/>
      <c r="L189" s="378"/>
      <c r="M189" s="313">
        <f>M186-SUM(M187:M188)</f>
        <v>46953.902965596462</v>
      </c>
      <c r="N189" s="298"/>
      <c r="O189" s="313">
        <f>O186-SUM(O187:O188)</f>
        <v>46135.759044645863</v>
      </c>
      <c r="P189" s="148"/>
      <c r="Q189" s="177"/>
      <c r="R189" s="177"/>
      <c r="S189" s="177"/>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row>
    <row r="190" spans="1:63" hidden="1" x14ac:dyDescent="0.25">
      <c r="A190" s="19"/>
      <c r="C190" s="72">
        <v>0</v>
      </c>
      <c r="D190" s="72">
        <f>D$137</f>
        <v>8925</v>
      </c>
      <c r="E190" s="72">
        <v>35350</v>
      </c>
      <c r="F190" s="72">
        <v>85650</v>
      </c>
      <c r="G190" s="72">
        <v>178650</v>
      </c>
      <c r="H190" s="19"/>
      <c r="I190" s="357" t="str">
        <f>$F$30</f>
        <v>NO</v>
      </c>
      <c r="J190" s="378" t="s">
        <v>117</v>
      </c>
      <c r="K190" s="378"/>
      <c r="L190" s="378"/>
      <c r="M190" s="313">
        <f>IF($I190="YES",$G$30,IF($I188=$C$28,IF(M189&gt;$F190,$G189,IF(M189&gt;$E190,$F189,IF(M189&gt;$D190,$E189,"CHECK"))),IF($I188=$C$29,IF(M189&gt;$E194,$F193,IF(M189&gt;$D194,$E193,IF(M189&gt;$C194,$D193,"CHECK"))))))</f>
        <v>0.25</v>
      </c>
      <c r="N190" s="340"/>
      <c r="O190" s="313">
        <f>IF($I190="YES",$G$30,IF($I188=$C$28,IF(O189&gt;$F190,$G189,IF(O189&gt;$E190,$F189,IF(O189&gt;$D190,$E189,"CHECK"))),IF($I188=$C$29,IF(O189&gt;$E194,$F193,IF(O189&gt;$D194,$E193,IF(O189&gt;$C194,$D193,"CHECK"))))))</f>
        <v>0.25</v>
      </c>
      <c r="P190" s="148"/>
      <c r="Q190" s="177"/>
      <c r="R190" s="177"/>
      <c r="S190" s="177"/>
      <c r="T190" s="148"/>
      <c r="U190" s="148"/>
      <c r="V190" s="148"/>
      <c r="W190" s="148"/>
      <c r="X190" s="148"/>
      <c r="Y190" s="148"/>
      <c r="Z190" s="148"/>
      <c r="AA190" s="148"/>
      <c r="AB190" s="148"/>
      <c r="AC190" s="148"/>
      <c r="AD190" s="148"/>
      <c r="AE190" s="148"/>
      <c r="AF190" s="148"/>
      <c r="AG190" s="148"/>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row>
    <row r="191" spans="1:63" hidden="1" x14ac:dyDescent="0.25">
      <c r="A191" s="19"/>
      <c r="C191" s="118"/>
      <c r="D191" s="119">
        <f>D$138</f>
        <v>0</v>
      </c>
      <c r="E191" s="119">
        <f>E$138</f>
        <v>892.5</v>
      </c>
      <c r="F191" s="119">
        <f>F$138</f>
        <v>4991.25</v>
      </c>
      <c r="G191" s="119">
        <f>G$138</f>
        <v>17891.25</v>
      </c>
      <c r="H191" s="19"/>
      <c r="I191" s="252"/>
      <c r="J191" s="378" t="str">
        <f>CONCATENATE("Tax Table Taxes (",$I$135,")")</f>
        <v>Tax Table Taxes (Single)</v>
      </c>
      <c r="K191" s="378"/>
      <c r="L191" s="378"/>
      <c r="M191" s="313">
        <f>IF($I$135=$C$28,IF(M189&gt;$F190,$G191+((M189-$F190)*$G189),IF(M189&gt;$E190,$F191+((M189-$E190)*$F189),IF(M189&gt;$D190,$D191+((M189-$D190)*$E189),"CHCK"))),IF($I$135=$C$29,IF(M189&gt;$E194,$F195+((M189-$E194)*$F193),IF(M189&gt;$D194,$E195+((M189-$D194)*$E193),IF(M189&gt;$C194,$C195+((M189-$C194)*$D193),"CHEK"))),"CHEK"))</f>
        <v>7892.2257413991156</v>
      </c>
      <c r="N191" s="268"/>
      <c r="O191" s="313">
        <f>IF($I$135=$C$28,IF(O189&gt;$F190,$G191+((O189-$F190)*$G189),IF(O189&gt;$E190,$F191+((O189-$E190)*$F189),IF(O189&gt;$D190,$D191+((O189-$D190)*$E189),"CHCK"))),IF($I$135=$C$29,IF(O189&gt;$E194,$F195+((O189-$E194)*$F193),IF(O189&gt;$D194,$E195+((O189-$D194)*$E193),IF(O189&gt;$C194,$C195+((O189-$C194)*$D193),"CHEK"))),"CHEK"))</f>
        <v>7687.6897611614659</v>
      </c>
      <c r="P191" s="148"/>
      <c r="Q191" s="177"/>
      <c r="R191" s="177"/>
      <c r="S191" s="177"/>
      <c r="T191" s="148"/>
      <c r="U191" s="148"/>
      <c r="V191" s="148"/>
      <c r="W191" s="148"/>
      <c r="X191" s="148"/>
      <c r="Y191" s="148"/>
      <c r="Z191" s="148"/>
      <c r="AA191" s="148"/>
      <c r="AB191" s="148"/>
      <c r="AC191" s="148"/>
      <c r="AD191" s="148"/>
      <c r="AE191" s="148"/>
      <c r="AF191" s="148"/>
      <c r="AG191" s="148"/>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c r="BI191" s="148"/>
      <c r="BJ191" s="148"/>
      <c r="BK191" s="148"/>
    </row>
    <row r="192" spans="1:63" hidden="1" x14ac:dyDescent="0.25">
      <c r="A192" s="19"/>
      <c r="C192" s="123" t="str">
        <f>$C$139</f>
        <v>2013 MARRIED Federal Tax Table Rates</v>
      </c>
      <c r="D192" s="122"/>
      <c r="E192" s="122"/>
      <c r="F192" s="122"/>
      <c r="G192" s="122"/>
      <c r="H192" s="19"/>
      <c r="I192" s="252"/>
      <c r="J192" s="177" t="s">
        <v>119</v>
      </c>
      <c r="K192" s="177"/>
      <c r="L192" s="177"/>
      <c r="M192" s="268">
        <f>-M182</f>
        <v>-818.14392095059804</v>
      </c>
      <c r="N192" s="268"/>
      <c r="O192" s="293">
        <v>0</v>
      </c>
      <c r="P192" s="148"/>
      <c r="Q192" s="177"/>
      <c r="R192" s="177"/>
      <c r="S192" s="177"/>
      <c r="T192" s="148"/>
      <c r="U192" s="148"/>
      <c r="V192" s="148"/>
      <c r="W192" s="148"/>
      <c r="X192" s="148"/>
      <c r="Y192" s="148"/>
      <c r="Z192" s="148"/>
      <c r="AA192" s="148"/>
      <c r="AB192" s="148"/>
      <c r="AC192" s="148"/>
      <c r="AD192" s="148"/>
      <c r="AE192" s="148"/>
      <c r="AF192" s="148"/>
      <c r="AG192" s="148"/>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c r="BI192" s="148"/>
      <c r="BJ192" s="148"/>
      <c r="BK192" s="148"/>
    </row>
    <row r="193" spans="1:63" hidden="1" x14ac:dyDescent="0.25">
      <c r="A193" s="19"/>
      <c r="C193" s="111"/>
      <c r="D193" s="69">
        <f>D$140</f>
        <v>0.1</v>
      </c>
      <c r="E193" s="69">
        <f>E$140</f>
        <v>0.15</v>
      </c>
      <c r="F193" s="69">
        <f>F$140</f>
        <v>0.25</v>
      </c>
      <c r="G193" s="69">
        <f>G$140</f>
        <v>0.28000000000000003</v>
      </c>
      <c r="H193" s="19"/>
      <c r="I193" s="252"/>
      <c r="J193" s="374" t="s">
        <v>120</v>
      </c>
      <c r="K193" s="374"/>
      <c r="L193" s="374"/>
      <c r="M193" s="379">
        <f>M191+M192</f>
        <v>7074.0818204485176</v>
      </c>
      <c r="N193" s="379"/>
      <c r="O193" s="379">
        <f>O191+O192</f>
        <v>7687.6897611614659</v>
      </c>
      <c r="P193" s="148"/>
      <c r="Q193" s="177"/>
      <c r="R193" s="177"/>
      <c r="S193" s="177"/>
      <c r="T193" s="148"/>
      <c r="U193" s="148"/>
      <c r="V193" s="148"/>
      <c r="W193" s="148"/>
      <c r="X193" s="148"/>
      <c r="Y193" s="148"/>
      <c r="Z193" s="148"/>
      <c r="AA193" s="148"/>
      <c r="AB193" s="148"/>
      <c r="AC193" s="148"/>
      <c r="AD193" s="148"/>
      <c r="AE193" s="148"/>
      <c r="AF193" s="148"/>
      <c r="AG193" s="148"/>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c r="BI193" s="148"/>
      <c r="BJ193" s="148"/>
      <c r="BK193" s="148"/>
    </row>
    <row r="194" spans="1:63" hidden="1" x14ac:dyDescent="0.25">
      <c r="A194" s="19"/>
      <c r="C194" s="72">
        <v>0</v>
      </c>
      <c r="D194" s="72">
        <f>D$141</f>
        <v>17850</v>
      </c>
      <c r="E194" s="72">
        <f>E$141</f>
        <v>72500</v>
      </c>
      <c r="F194" s="72">
        <f>F$141</f>
        <v>146400</v>
      </c>
      <c r="G194" s="72">
        <f>G$141</f>
        <v>233050</v>
      </c>
      <c r="H194" s="19"/>
      <c r="I194" s="252"/>
      <c r="J194" s="374" t="s">
        <v>121</v>
      </c>
      <c r="K194" s="374"/>
      <c r="L194" s="374"/>
      <c r="M194" s="379">
        <f>O193-M193</f>
        <v>613.60794071294822</v>
      </c>
      <c r="N194" s="379"/>
      <c r="O194" s="376"/>
      <c r="P194" s="148"/>
      <c r="Q194" s="177"/>
      <c r="R194" s="177"/>
      <c r="S194" s="177"/>
      <c r="T194" s="148"/>
      <c r="U194" s="148"/>
      <c r="V194" s="148"/>
      <c r="W194" s="148"/>
      <c r="X194" s="148"/>
      <c r="Y194" s="148"/>
      <c r="Z194" s="148"/>
      <c r="AA194" s="148"/>
      <c r="AB194" s="148"/>
      <c r="AC194" s="148"/>
      <c r="AD194" s="148"/>
      <c r="AE194" s="148"/>
      <c r="AF194" s="148"/>
      <c r="AG194" s="148"/>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c r="BI194" s="148"/>
      <c r="BJ194" s="148"/>
      <c r="BK194" s="148"/>
    </row>
    <row r="195" spans="1:63" hidden="1" x14ac:dyDescent="0.25">
      <c r="A195" s="19"/>
      <c r="C195" s="118"/>
      <c r="D195" s="119">
        <f>D$138</f>
        <v>0</v>
      </c>
      <c r="E195" s="119">
        <f>E$138</f>
        <v>892.5</v>
      </c>
      <c r="F195" s="119">
        <f>F$138</f>
        <v>4991.25</v>
      </c>
      <c r="G195" s="119">
        <f>G$138</f>
        <v>17891.25</v>
      </c>
      <c r="H195" s="19"/>
      <c r="I195" s="252"/>
      <c r="J195" s="374" t="s">
        <v>122</v>
      </c>
      <c r="K195" s="374"/>
      <c r="L195" s="374"/>
      <c r="M195" s="380">
        <f>M194/12</f>
        <v>51.133995059412349</v>
      </c>
      <c r="N195" s="380"/>
      <c r="O195" s="300"/>
      <c r="P195" s="148"/>
      <c r="Q195" s="177"/>
      <c r="R195" s="177"/>
      <c r="S195" s="177"/>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c r="BI195" s="148"/>
      <c r="BJ195" s="148"/>
      <c r="BK195" s="148"/>
    </row>
    <row r="196" spans="1:63" hidden="1" x14ac:dyDescent="0.25">
      <c r="A196" s="19"/>
      <c r="D196" s="12"/>
      <c r="E196" s="12"/>
      <c r="F196" s="12"/>
      <c r="G196" s="12"/>
      <c r="H196" s="19"/>
      <c r="I196" s="241" t="str">
        <f>I190</f>
        <v>NO</v>
      </c>
      <c r="J196" s="381" t="s">
        <v>123</v>
      </c>
      <c r="K196" s="381"/>
      <c r="L196" s="381"/>
      <c r="M196" s="382">
        <f>IF($I188=$C$28,IF(M189&gt;$F190,$G189,IF(M189&gt;$E190,$F189,IF(M189&gt;$D190,$E189,"CHECK"))),IF($I188=$C$29,IF(M189&gt;$E194,$F193,IF(M189&gt;$D194,$E193,IF(M189&gt;$C194,$D193,"CHECK"))),"CHECK"))</f>
        <v>0.25</v>
      </c>
      <c r="N196" s="383"/>
      <c r="O196" s="382">
        <f>IF($I188=$C$28,IF(O189&gt;$F190,$G189,IF(O189&gt;$E190,$F189,IF(O189&gt;$D190,$E189,"CHECK"))),IF($I188=$C$29,IF(O189&gt;$E194,$F193,IF(O189&gt;$D194,$E193,IF(O189&gt;$C194,$D193,"CHECK"))),"CHECK"))</f>
        <v>0.25</v>
      </c>
      <c r="P196" s="148"/>
      <c r="Q196" s="177"/>
      <c r="R196" s="177"/>
      <c r="S196" s="177"/>
      <c r="T196" s="148"/>
      <c r="U196" s="148"/>
      <c r="V196" s="148"/>
      <c r="W196" s="148"/>
      <c r="X196" s="148"/>
      <c r="Y196" s="148"/>
      <c r="Z196" s="148"/>
      <c r="AA196" s="148"/>
      <c r="AB196" s="148"/>
      <c r="AC196" s="148"/>
      <c r="AD196" s="148"/>
      <c r="AE196" s="148"/>
      <c r="AF196" s="148"/>
      <c r="AG196" s="148"/>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c r="BI196" s="148"/>
      <c r="BJ196" s="148"/>
      <c r="BK196" s="148"/>
    </row>
    <row r="197" spans="1:63" hidden="1" x14ac:dyDescent="0.25">
      <c r="A197" s="19"/>
      <c r="D197" s="12"/>
      <c r="E197" s="12"/>
      <c r="F197" s="12"/>
      <c r="G197" s="12"/>
      <c r="H197" s="19"/>
      <c r="I197" s="252"/>
      <c r="J197" s="177"/>
      <c r="K197" s="177"/>
      <c r="L197" s="177"/>
      <c r="M197" s="177"/>
      <c r="N197" s="177"/>
      <c r="O197" s="177"/>
      <c r="P197" s="148"/>
      <c r="Q197" s="177"/>
      <c r="R197" s="177"/>
      <c r="S197" s="177"/>
      <c r="T197" s="148"/>
      <c r="U197" s="148"/>
      <c r="V197" s="148"/>
      <c r="W197" s="148"/>
      <c r="X197" s="148"/>
      <c r="Y197" s="148"/>
      <c r="Z197" s="148"/>
      <c r="AA197" s="148"/>
      <c r="AB197" s="148"/>
      <c r="AC197" s="148"/>
      <c r="AD197" s="148"/>
      <c r="AE197" s="148"/>
      <c r="AF197" s="148"/>
      <c r="AG197" s="148"/>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c r="BI197" s="148"/>
      <c r="BJ197" s="148"/>
      <c r="BK197" s="148"/>
    </row>
    <row r="198" spans="1:63" ht="15.75" hidden="1" x14ac:dyDescent="0.25">
      <c r="A198" s="19"/>
      <c r="C198" s="126" t="s">
        <v>124</v>
      </c>
      <c r="D198" s="126"/>
      <c r="E198" s="126"/>
      <c r="F198" s="126"/>
      <c r="G198" s="126"/>
      <c r="H198" s="19"/>
      <c r="I198" s="252"/>
      <c r="J198" s="177"/>
      <c r="K198" s="177"/>
      <c r="L198" s="177"/>
      <c r="M198" s="177"/>
      <c r="N198" s="177"/>
      <c r="O198" s="177"/>
      <c r="P198" s="148"/>
      <c r="Q198" s="177"/>
      <c r="R198" s="177"/>
      <c r="S198" s="177"/>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row>
    <row r="199" spans="1:63" hidden="1" x14ac:dyDescent="0.25">
      <c r="A199" s="19"/>
      <c r="C199" s="112" t="s">
        <v>91</v>
      </c>
      <c r="D199" s="113" t="s">
        <v>92</v>
      </c>
      <c r="E199" s="113" t="s">
        <v>93</v>
      </c>
      <c r="F199" s="112" t="s">
        <v>94</v>
      </c>
      <c r="G199" s="112" t="s">
        <v>95</v>
      </c>
      <c r="H199" s="19"/>
      <c r="I199" s="252"/>
      <c r="J199" s="177" t="s">
        <v>125</v>
      </c>
      <c r="K199" s="177"/>
      <c r="L199" s="177"/>
      <c r="M199" s="379">
        <f>M131</f>
        <v>68000</v>
      </c>
      <c r="N199" s="379"/>
      <c r="O199" s="379">
        <f>O131</f>
        <v>68000</v>
      </c>
      <c r="P199" s="148"/>
      <c r="Q199" s="177"/>
      <c r="R199" s="177"/>
      <c r="S199" s="177"/>
      <c r="T199" s="148"/>
      <c r="U199" s="148"/>
      <c r="V199" s="148"/>
      <c r="W199" s="148"/>
      <c r="X199" s="148"/>
      <c r="Y199" s="148"/>
      <c r="Z199" s="148"/>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row>
    <row r="200" spans="1:63" hidden="1" x14ac:dyDescent="0.25">
      <c r="A200" s="19"/>
      <c r="C200" s="127">
        <f>C122</f>
        <v>7.8299999999999995E-2</v>
      </c>
      <c r="D200" s="127">
        <f>D122</f>
        <v>0.05</v>
      </c>
      <c r="E200" s="127">
        <f>E122</f>
        <v>0.01</v>
      </c>
      <c r="F200" s="125">
        <f>F122</f>
        <v>3900</v>
      </c>
      <c r="G200" s="128">
        <f>G122</f>
        <v>2</v>
      </c>
      <c r="H200" s="19"/>
      <c r="I200" s="252"/>
      <c r="J200" s="177" t="s">
        <v>126</v>
      </c>
      <c r="K200" s="177"/>
      <c r="L200" s="177"/>
      <c r="M200" s="268">
        <f>M199*$D$200</f>
        <v>3400</v>
      </c>
      <c r="N200" s="268"/>
      <c r="O200" s="268">
        <f>O199*$D$122</f>
        <v>3400</v>
      </c>
      <c r="P200" s="148"/>
      <c r="Q200" s="177"/>
      <c r="R200" s="177"/>
      <c r="S200" s="177"/>
      <c r="T200" s="148"/>
      <c r="U200" s="148"/>
      <c r="V200" s="148"/>
      <c r="W200" s="148"/>
      <c r="X200" s="148"/>
      <c r="Y200" s="148"/>
      <c r="Z200" s="148"/>
      <c r="AA200" s="148"/>
      <c r="AB200" s="148"/>
      <c r="AC200" s="148"/>
      <c r="AD200" s="148"/>
      <c r="AE200" s="148"/>
      <c r="AF200" s="148"/>
      <c r="AG200" s="148"/>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c r="BI200" s="148"/>
      <c r="BJ200" s="148"/>
      <c r="BK200" s="148"/>
    </row>
    <row r="201" spans="1:63" hidden="1" x14ac:dyDescent="0.25">
      <c r="A201" s="19"/>
      <c r="C201" s="112" t="s">
        <v>97</v>
      </c>
      <c r="D201" s="112" t="s">
        <v>98</v>
      </c>
      <c r="E201" s="112"/>
      <c r="F201" s="112" t="s">
        <v>99</v>
      </c>
      <c r="G201" s="12"/>
      <c r="H201" s="19"/>
      <c r="I201" s="252"/>
      <c r="J201" s="177" t="s">
        <v>127</v>
      </c>
      <c r="K201" s="177"/>
      <c r="L201" s="177"/>
      <c r="M201" s="379">
        <f>M199-M200</f>
        <v>64600</v>
      </c>
      <c r="N201" s="379"/>
      <c r="O201" s="379">
        <f>O199-O200</f>
        <v>64600</v>
      </c>
      <c r="P201" s="148"/>
      <c r="Q201" s="177"/>
      <c r="R201" s="177"/>
      <c r="S201" s="177"/>
      <c r="T201" s="148"/>
      <c r="U201" s="148"/>
      <c r="V201" s="148"/>
      <c r="W201" s="148"/>
      <c r="X201" s="148"/>
      <c r="Y201" s="148"/>
      <c r="Z201" s="148"/>
      <c r="AA201" s="148"/>
      <c r="AB201" s="148"/>
      <c r="AC201" s="148"/>
      <c r="AD201" s="148"/>
      <c r="AE201" s="148"/>
      <c r="AF201" s="148"/>
      <c r="AG201" s="148"/>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c r="BI201" s="148"/>
      <c r="BJ201" s="148"/>
      <c r="BK201" s="148"/>
    </row>
    <row r="202" spans="1:63" hidden="1" x14ac:dyDescent="0.25">
      <c r="A202" s="19"/>
      <c r="C202" s="127">
        <f>C124</f>
        <v>1.4999999999999999E-2</v>
      </c>
      <c r="D202" s="127">
        <f>D124</f>
        <v>0.97</v>
      </c>
      <c r="E202" s="129"/>
      <c r="F202" s="125">
        <f>E124</f>
        <v>3200</v>
      </c>
      <c r="G202" s="12"/>
      <c r="H202" s="19"/>
      <c r="I202" s="252"/>
      <c r="J202" s="177" t="s">
        <v>128</v>
      </c>
      <c r="K202" s="177"/>
      <c r="L202" s="177"/>
      <c r="M202" s="177"/>
      <c r="N202" s="177"/>
      <c r="O202" s="177"/>
      <c r="P202" s="148"/>
      <c r="Q202" s="177"/>
      <c r="R202" s="177"/>
      <c r="S202" s="177"/>
      <c r="T202" s="148"/>
      <c r="U202" s="148"/>
      <c r="V202" s="148"/>
      <c r="W202" s="148"/>
      <c r="X202" s="148"/>
      <c r="Y202" s="148"/>
      <c r="Z202" s="148"/>
      <c r="AA202" s="148"/>
      <c r="AB202" s="148"/>
      <c r="AC202" s="148"/>
      <c r="AD202" s="148"/>
      <c r="AE202" s="148"/>
      <c r="AF202" s="148"/>
      <c r="AG202" s="148"/>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c r="BI202" s="148"/>
      <c r="BJ202" s="148"/>
      <c r="BK202" s="148"/>
    </row>
    <row r="203" spans="1:63" hidden="1" x14ac:dyDescent="0.25">
      <c r="A203" s="19"/>
      <c r="D203" s="12"/>
      <c r="E203" s="12"/>
      <c r="F203" s="12"/>
      <c r="G203" s="12"/>
      <c r="H203" s="19"/>
      <c r="I203" s="252"/>
      <c r="J203" s="384" t="s">
        <v>129</v>
      </c>
      <c r="K203" s="384"/>
      <c r="L203" s="384"/>
      <c r="M203" s="385">
        <f>M180-M182</f>
        <v>2454.4317628517942</v>
      </c>
      <c r="N203" s="385"/>
      <c r="O203" s="385">
        <f>O180-O182</f>
        <v>3272.5756838023922</v>
      </c>
      <c r="P203" s="292"/>
      <c r="Q203" s="177"/>
      <c r="R203" s="177"/>
      <c r="S203" s="177"/>
      <c r="T203" s="292"/>
      <c r="U203" s="292"/>
      <c r="V203" s="148"/>
      <c r="W203" s="148"/>
      <c r="X203" s="148"/>
      <c r="Y203" s="148"/>
      <c r="Z203" s="148"/>
      <c r="AA203" s="148"/>
      <c r="AB203" s="148"/>
      <c r="AC203" s="148"/>
      <c r="AD203" s="148"/>
      <c r="AE203" s="148"/>
      <c r="AF203" s="148"/>
      <c r="AG203" s="148"/>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c r="BI203" s="148"/>
      <c r="BJ203" s="148"/>
      <c r="BK203" s="148"/>
    </row>
    <row r="204" spans="1:63" hidden="1" x14ac:dyDescent="0.25">
      <c r="A204" s="19"/>
      <c r="C204" s="111">
        <f>$M$28</f>
        <v>0.98188807538734257</v>
      </c>
      <c r="D204" s="12"/>
      <c r="E204" s="12"/>
      <c r="F204" s="12"/>
      <c r="G204" s="12"/>
      <c r="H204" s="19"/>
      <c r="I204" s="252"/>
      <c r="J204" s="384" t="s">
        <v>130</v>
      </c>
      <c r="K204" s="384"/>
      <c r="L204" s="384"/>
      <c r="M204" s="293">
        <f>(M121/$C$204)*$C$202</f>
        <v>2673.4207959134956</v>
      </c>
      <c r="N204" s="293"/>
      <c r="O204" s="293">
        <f>(O121/$C$204)*$C$202</f>
        <v>2673.4207959134956</v>
      </c>
      <c r="P204" s="292"/>
      <c r="Q204" s="177"/>
      <c r="R204" s="177"/>
      <c r="S204" s="177"/>
      <c r="T204" s="292"/>
      <c r="U204" s="292"/>
      <c r="V204" s="148"/>
      <c r="W204" s="148"/>
      <c r="X204" s="148"/>
      <c r="Y204" s="148"/>
      <c r="Z204" s="148"/>
      <c r="AA204" s="148"/>
      <c r="AB204" s="148"/>
      <c r="AC204" s="148"/>
      <c r="AD204" s="148"/>
      <c r="AE204" s="148"/>
      <c r="AF204" s="148"/>
      <c r="AG204" s="148"/>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c r="BI204" s="148"/>
      <c r="BJ204" s="148"/>
      <c r="BK204" s="148"/>
    </row>
    <row r="205" spans="1:63" hidden="1" x14ac:dyDescent="0.25">
      <c r="A205" s="19"/>
      <c r="D205" s="12"/>
      <c r="E205" s="12"/>
      <c r="F205" s="12"/>
      <c r="G205" s="12"/>
      <c r="H205" s="19"/>
      <c r="I205" s="252"/>
      <c r="J205" s="384" t="s">
        <v>131</v>
      </c>
      <c r="K205" s="384"/>
      <c r="L205" s="384"/>
      <c r="M205" s="293">
        <f>M199*$E$200</f>
        <v>680</v>
      </c>
      <c r="N205" s="293"/>
      <c r="O205" s="293">
        <f>O199*$E$122</f>
        <v>680</v>
      </c>
      <c r="P205" s="292"/>
      <c r="Q205" s="177"/>
      <c r="R205" s="177"/>
      <c r="S205" s="177"/>
      <c r="T205" s="292"/>
      <c r="U205" s="292"/>
      <c r="V205" s="148"/>
      <c r="W205" s="148"/>
      <c r="X205" s="148"/>
      <c r="Y205" s="148"/>
      <c r="Z205" s="148"/>
      <c r="AA205" s="148"/>
      <c r="AB205" s="148"/>
      <c r="AC205" s="148"/>
      <c r="AD205" s="148"/>
      <c r="AE205" s="148"/>
      <c r="AF205" s="148"/>
      <c r="AG205" s="148"/>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c r="BI205" s="148"/>
      <c r="BJ205" s="148"/>
      <c r="BK205" s="148"/>
    </row>
    <row r="206" spans="1:63" hidden="1" x14ac:dyDescent="0.25">
      <c r="A206" s="19"/>
      <c r="D206" s="12"/>
      <c r="E206" s="12"/>
      <c r="F206" s="12"/>
      <c r="G206" s="24">
        <f>SUM(M203:M206)</f>
        <v>9846.0970344035341</v>
      </c>
      <c r="H206" s="19"/>
      <c r="I206" s="252"/>
      <c r="J206" s="384" t="s">
        <v>91</v>
      </c>
      <c r="K206" s="384"/>
      <c r="L206" s="384"/>
      <c r="M206" s="293">
        <f>(M201-(M180+M204+M205+($F$202*$G$200)))*$C$200</f>
        <v>4038.2444756382456</v>
      </c>
      <c r="N206" s="293"/>
      <c r="O206" s="293">
        <f>(O201-(O127+O204+O205+($E$124*$G$122)))*$C$122</f>
        <v>4038.2444756382456</v>
      </c>
      <c r="P206" s="292"/>
      <c r="Q206" s="177"/>
      <c r="R206" s="177"/>
      <c r="S206" s="177"/>
      <c r="T206" s="292"/>
      <c r="U206" s="292"/>
      <c r="V206" s="148"/>
      <c r="W206" s="148"/>
      <c r="X206" s="148"/>
      <c r="Y206" s="148"/>
      <c r="Z206" s="292">
        <f>SUM(Q203:Q206)</f>
        <v>0</v>
      </c>
      <c r="AA206" s="148"/>
      <c r="AB206" s="148"/>
      <c r="AC206" s="148"/>
      <c r="AD206" s="148"/>
      <c r="AE206" s="148"/>
      <c r="AF206" s="148"/>
      <c r="AG206" s="148"/>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c r="BI206" s="148"/>
      <c r="BJ206" s="148"/>
      <c r="BK206" s="148"/>
    </row>
    <row r="207" spans="1:63" hidden="1" x14ac:dyDescent="0.25">
      <c r="A207" s="19"/>
      <c r="D207" s="12"/>
      <c r="E207" s="12"/>
      <c r="F207" s="12"/>
      <c r="G207" s="125">
        <f>SUMIF($C$28:$C$29,I207,$D$28:$D$29)</f>
        <v>6100</v>
      </c>
      <c r="H207" s="19"/>
      <c r="I207" s="357" t="str">
        <f>$D$26</f>
        <v>Single</v>
      </c>
      <c r="J207" s="386" t="s">
        <v>132</v>
      </c>
      <c r="K207" s="386"/>
      <c r="L207" s="386"/>
      <c r="M207" s="375">
        <f>MAX($G207,SUM(M203:M206))</f>
        <v>9846.0970344035341</v>
      </c>
      <c r="N207" s="375"/>
      <c r="O207" s="375">
        <f>MAX($G207,SUM(O203:O206))</f>
        <v>10664.240955354133</v>
      </c>
      <c r="P207" s="292"/>
      <c r="Q207" s="177"/>
      <c r="R207" s="177"/>
      <c r="S207" s="177"/>
      <c r="T207" s="292"/>
      <c r="U207" s="292"/>
      <c r="V207" s="148"/>
      <c r="W207" s="148"/>
      <c r="X207" s="148"/>
      <c r="Y207" s="148"/>
      <c r="Z207" s="298">
        <f>SUMIF($C$28:$C$29,AA207,$D$28:$D$29)</f>
        <v>6100</v>
      </c>
      <c r="AA207" s="299" t="str">
        <f>$D$26</f>
        <v>Single</v>
      </c>
      <c r="AB207" s="148"/>
      <c r="AC207" s="148"/>
      <c r="AD207" s="148"/>
      <c r="AE207" s="148"/>
      <c r="AF207" s="148"/>
      <c r="AG207" s="148"/>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c r="BI207" s="148"/>
      <c r="BJ207" s="148"/>
      <c r="BK207" s="148"/>
    </row>
    <row r="208" spans="1:63" hidden="1" x14ac:dyDescent="0.25">
      <c r="A208" s="19"/>
      <c r="C208" s="122" t="str">
        <f>$C$135</f>
        <v>2013 SINGLE Federal Tax Table Rates</v>
      </c>
      <c r="D208" s="122"/>
      <c r="E208" s="122"/>
      <c r="F208" s="122"/>
      <c r="G208" s="122"/>
      <c r="H208" s="19"/>
      <c r="I208" s="357" t="str">
        <f>$D$26</f>
        <v>Single</v>
      </c>
      <c r="J208" s="177" t="s">
        <v>133</v>
      </c>
      <c r="K208" s="177"/>
      <c r="L208" s="177"/>
      <c r="M208" s="375">
        <f>$F$200*$G$200</f>
        <v>7800</v>
      </c>
      <c r="N208" s="375"/>
      <c r="O208" s="375">
        <f>$F$122*$G$122</f>
        <v>7800</v>
      </c>
      <c r="P208" s="292"/>
      <c r="Q208" s="177"/>
      <c r="R208" s="177"/>
      <c r="S208" s="177"/>
      <c r="T208" s="292"/>
      <c r="U208" s="292"/>
      <c r="V208" s="148"/>
      <c r="W208" s="148"/>
      <c r="X208" s="148"/>
      <c r="Y208" s="148"/>
      <c r="Z208" s="148"/>
      <c r="AA208" s="148"/>
      <c r="AB208" s="148"/>
      <c r="AC208" s="148"/>
      <c r="AD208" s="148"/>
      <c r="AE208" s="148"/>
      <c r="AF208" s="148"/>
      <c r="AG208" s="148"/>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c r="BI208" s="148"/>
      <c r="BJ208" s="148"/>
      <c r="BK208" s="148"/>
    </row>
    <row r="209" spans="1:63" hidden="1" x14ac:dyDescent="0.25">
      <c r="A209" s="19"/>
      <c r="C209" s="111"/>
      <c r="D209" s="69">
        <f>D$136</f>
        <v>0.1</v>
      </c>
      <c r="E209" s="69">
        <f>E$136</f>
        <v>0.15</v>
      </c>
      <c r="F209" s="69">
        <f>F$136</f>
        <v>0.25</v>
      </c>
      <c r="G209" s="69">
        <f>G$136</f>
        <v>0.28000000000000003</v>
      </c>
      <c r="H209" s="19"/>
      <c r="I209" s="356"/>
      <c r="J209" s="374" t="s">
        <v>116</v>
      </c>
      <c r="K209" s="374"/>
      <c r="L209" s="374"/>
      <c r="M209" s="375">
        <f>M201-M207-M208</f>
        <v>46953.90296559647</v>
      </c>
      <c r="N209" s="375"/>
      <c r="O209" s="375">
        <f>O201-O207-O208</f>
        <v>46135.759044645863</v>
      </c>
      <c r="P209" s="292"/>
      <c r="Q209" s="177"/>
      <c r="R209" s="177"/>
      <c r="S209" s="177"/>
      <c r="T209" s="292"/>
      <c r="U209" s="292"/>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c r="BI209" s="148"/>
      <c r="BJ209" s="148"/>
      <c r="BK209" s="148"/>
    </row>
    <row r="210" spans="1:63" hidden="1" x14ac:dyDescent="0.25">
      <c r="A210" s="19"/>
      <c r="C210" s="72">
        <v>0</v>
      </c>
      <c r="D210" s="72">
        <f>D$137</f>
        <v>8925</v>
      </c>
      <c r="E210" s="72">
        <v>35350</v>
      </c>
      <c r="F210" s="72">
        <v>85650</v>
      </c>
      <c r="G210" s="72">
        <v>178650</v>
      </c>
      <c r="H210" s="19"/>
      <c r="I210" s="357" t="str">
        <f>$F$30</f>
        <v>NO</v>
      </c>
      <c r="J210" s="369" t="str">
        <f>J$137</f>
        <v>Incremental Federal Tax Bracket</v>
      </c>
      <c r="K210" s="369"/>
      <c r="L210" s="369"/>
      <c r="M210" s="340">
        <f>IF($I210="YES",$G$30,IF($I208=$C$28,IF(M209&gt;$F210,$G209,IF(M209&gt;$E210,$F209,IF(M209&gt;$D210,$E209,"CHECK"))),IF($I208=$C$29,IF(M209&gt;$E214,$F213,IF(M209&gt;$D214,$E213,IF(M209&gt;$C214,$D213,"CHECK"))))))</f>
        <v>0.25</v>
      </c>
      <c r="N210" s="340"/>
      <c r="O210" s="340">
        <f>IF($I210="YES",$G$30,IF($I208=$C$28,IF(O209&gt;$F210,$G209,IF(O209&gt;$E210,$F209,IF(O209&gt;$D210,$E209,"CHECK"))),IF($I208=$C$29,IF(O209&gt;$E214,$F213,IF(O209&gt;$D214,$E213,IF(O209&gt;$C214,$D213,"CHECK"))))))</f>
        <v>0.25</v>
      </c>
      <c r="P210" s="148"/>
      <c r="Q210" s="177"/>
      <c r="R210" s="177"/>
      <c r="S210" s="177"/>
      <c r="T210" s="148"/>
      <c r="U210" s="148"/>
      <c r="V210" s="148"/>
      <c r="W210" s="148"/>
      <c r="X210" s="148"/>
      <c r="Y210" s="148"/>
      <c r="Z210" s="148"/>
      <c r="AA210" s="148"/>
      <c r="AB210" s="148"/>
      <c r="AC210" s="148"/>
      <c r="AD210" s="148"/>
      <c r="AE210" s="148"/>
      <c r="AF210" s="148"/>
      <c r="AG210" s="148"/>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c r="BI210" s="148"/>
      <c r="BJ210" s="148"/>
      <c r="BK210" s="148"/>
    </row>
    <row r="211" spans="1:63" hidden="1" x14ac:dyDescent="0.25">
      <c r="A211" s="19"/>
      <c r="C211" s="118"/>
      <c r="D211" s="119">
        <f>D$138</f>
        <v>0</v>
      </c>
      <c r="E211" s="119">
        <f>E$138</f>
        <v>892.5</v>
      </c>
      <c r="F211" s="119">
        <f>F$138</f>
        <v>4991.25</v>
      </c>
      <c r="G211" s="119">
        <f>G$138</f>
        <v>17891.25</v>
      </c>
      <c r="H211" s="19"/>
      <c r="I211" s="252"/>
      <c r="J211" s="177" t="str">
        <f>CONCATENATE("Federal Taxes (",I208," Tax Tables)")</f>
        <v>Federal Taxes (Single Tax Tables)</v>
      </c>
      <c r="K211" s="177"/>
      <c r="L211" s="177"/>
      <c r="M211" s="313">
        <f>IF($I$135=$C$28,IF(M209&gt;$F210,$G211+((M209-$F210)*$G209),IF(M209&gt;$E210,$F211+((M209-$E210)*$F209),IF(M209&gt;$D210,$D211+((M209-$D210)*$E209),"CHCK"))),IF($I$135=$C$29,IF(M209&gt;$E214,$F215+((M209-$E214)*$F213),IF(M209&gt;$D214,$E215+((M209-$D214)*$E213),IF(M209&gt;$C214,$C215+((M209-$C214)*$D213),"CHEK"))),"CHEK"))</f>
        <v>7892.2257413991174</v>
      </c>
      <c r="N211" s="293"/>
      <c r="O211" s="313">
        <f>IF($I$135=$C$28,IF(O209&gt;$F210,$G211+((O209-$F210)*$G209),IF(O209&gt;$E210,$F211+((O209-$E210)*$F209),IF(O209&gt;$D210,$D211+((O209-$D210)*$E209),"CHCK"))),IF($I$135=$C$29,IF(O209&gt;$E214,$F215+((O209-$E214)*$F213),IF(O209&gt;$D214,$E215+((O209-$D214)*$E213),IF(O209&gt;$C214,$C215+((O209-$C214)*$D213),"CHEK"))),"CHEK"))</f>
        <v>7687.6897611614659</v>
      </c>
      <c r="P211" s="292"/>
      <c r="Q211" s="177"/>
      <c r="R211" s="177"/>
      <c r="S211" s="177"/>
      <c r="T211" s="292"/>
      <c r="U211" s="292"/>
      <c r="V211" s="148"/>
      <c r="W211" s="148"/>
      <c r="X211" s="148"/>
      <c r="Y211" s="148"/>
      <c r="Z211" s="148"/>
      <c r="AA211" s="148"/>
      <c r="AB211" s="148"/>
      <c r="AC211" s="148"/>
      <c r="AD211" s="148"/>
      <c r="AE211" s="148"/>
      <c r="AF211" s="148"/>
      <c r="AG211" s="148"/>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c r="BI211" s="148"/>
      <c r="BJ211" s="148"/>
      <c r="BK211" s="148"/>
    </row>
    <row r="212" spans="1:63" hidden="1" x14ac:dyDescent="0.25">
      <c r="A212" s="19"/>
      <c r="C212" s="123" t="str">
        <f>$C$139</f>
        <v>2013 MARRIED Federal Tax Table Rates</v>
      </c>
      <c r="D212" s="122"/>
      <c r="E212" s="122"/>
      <c r="F212" s="122"/>
      <c r="G212" s="122"/>
      <c r="H212" s="19"/>
      <c r="I212" s="252"/>
      <c r="J212" s="311" t="s">
        <v>119</v>
      </c>
      <c r="K212" s="311"/>
      <c r="L212" s="311"/>
      <c r="M212" s="313">
        <f>-M182</f>
        <v>-818.14392095059804</v>
      </c>
      <c r="N212" s="313"/>
      <c r="O212" s="313">
        <f>-O129</f>
        <v>0</v>
      </c>
      <c r="P212" s="148"/>
      <c r="Q212" s="177"/>
      <c r="R212" s="177"/>
      <c r="S212" s="177"/>
      <c r="T212" s="148"/>
      <c r="U212" s="148"/>
      <c r="V212" s="148"/>
      <c r="W212" s="148"/>
      <c r="X212" s="148"/>
      <c r="Y212" s="148"/>
      <c r="Z212" s="148"/>
      <c r="AA212" s="148"/>
      <c r="AB212" s="148"/>
      <c r="AC212" s="148"/>
      <c r="AD212" s="148"/>
      <c r="AE212" s="148"/>
      <c r="AF212" s="148"/>
      <c r="AG212" s="148"/>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c r="BI212" s="148"/>
      <c r="BJ212" s="148"/>
      <c r="BK212" s="148"/>
    </row>
    <row r="213" spans="1:63" hidden="1" x14ac:dyDescent="0.25">
      <c r="A213" s="19"/>
      <c r="C213" s="111"/>
      <c r="D213" s="69">
        <f>D$140</f>
        <v>0.1</v>
      </c>
      <c r="E213" s="69">
        <f>E$140</f>
        <v>0.15</v>
      </c>
      <c r="F213" s="69">
        <f>F$140</f>
        <v>0.25</v>
      </c>
      <c r="G213" s="69">
        <f>G$140</f>
        <v>0.28000000000000003</v>
      </c>
      <c r="H213" s="19"/>
      <c r="I213" s="252"/>
      <c r="J213" s="343" t="s">
        <v>120</v>
      </c>
      <c r="K213" s="343"/>
      <c r="L213" s="343"/>
      <c r="M213" s="361">
        <f>M211+M212</f>
        <v>7074.0818204485195</v>
      </c>
      <c r="N213" s="361"/>
      <c r="O213" s="361">
        <f>O211+O212</f>
        <v>7687.6897611614659</v>
      </c>
      <c r="P213" s="148"/>
      <c r="Q213" s="177"/>
      <c r="R213" s="177"/>
      <c r="S213" s="177"/>
      <c r="T213" s="148"/>
      <c r="U213" s="148"/>
      <c r="V213" s="148"/>
      <c r="W213" s="148"/>
      <c r="X213" s="148"/>
      <c r="Y213" s="148"/>
      <c r="Z213" s="148"/>
      <c r="AA213" s="148"/>
      <c r="AB213" s="148"/>
      <c r="AC213" s="148"/>
      <c r="AD213" s="148"/>
      <c r="AE213" s="148"/>
      <c r="AF213" s="148"/>
      <c r="AG213" s="148"/>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row>
    <row r="214" spans="1:63" hidden="1" x14ac:dyDescent="0.25">
      <c r="A214" s="19"/>
      <c r="C214" s="72">
        <v>0</v>
      </c>
      <c r="D214" s="72">
        <f>D$141</f>
        <v>17850</v>
      </c>
      <c r="E214" s="72">
        <f>E$141</f>
        <v>72500</v>
      </c>
      <c r="F214" s="72">
        <f>F$141</f>
        <v>146400</v>
      </c>
      <c r="G214" s="72">
        <f>G$141</f>
        <v>233050</v>
      </c>
      <c r="H214" s="19"/>
      <c r="I214" s="252"/>
      <c r="J214" s="343" t="s">
        <v>134</v>
      </c>
      <c r="K214" s="343"/>
      <c r="L214" s="343"/>
      <c r="M214" s="361">
        <f>O213-M213</f>
        <v>613.6079407129464</v>
      </c>
      <c r="N214" s="361"/>
      <c r="O214" s="376"/>
      <c r="P214" s="148"/>
      <c r="Q214" s="177"/>
      <c r="R214" s="177"/>
      <c r="S214" s="177"/>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row>
    <row r="215" spans="1:63" hidden="1" x14ac:dyDescent="0.25">
      <c r="A215" s="19"/>
      <c r="C215" s="118"/>
      <c r="D215" s="119">
        <f>D$138</f>
        <v>0</v>
      </c>
      <c r="E215" s="119">
        <f>E$138</f>
        <v>892.5</v>
      </c>
      <c r="F215" s="119">
        <f>F$138</f>
        <v>4991.25</v>
      </c>
      <c r="G215" s="119">
        <f>G$138</f>
        <v>17891.25</v>
      </c>
      <c r="H215" s="19"/>
      <c r="I215" s="387">
        <f>SUM(M215:T215)</f>
        <v>0</v>
      </c>
      <c r="J215" s="388" t="s">
        <v>135</v>
      </c>
      <c r="K215" s="388"/>
      <c r="L215" s="388"/>
      <c r="M215" s="389">
        <f>M213-M193</f>
        <v>0</v>
      </c>
      <c r="N215" s="389"/>
      <c r="O215" s="389">
        <f>O213-O193</f>
        <v>0</v>
      </c>
      <c r="P215" s="148"/>
      <c r="Q215" s="177"/>
      <c r="R215" s="177"/>
      <c r="S215" s="177"/>
      <c r="T215" s="148"/>
      <c r="U215" s="148"/>
      <c r="V215" s="148"/>
      <c r="W215" s="148"/>
      <c r="X215" s="148"/>
      <c r="Y215" s="148"/>
      <c r="Z215" s="148"/>
      <c r="AA215" s="148"/>
      <c r="AB215" s="148"/>
      <c r="AC215" s="148"/>
      <c r="AD215" s="148"/>
      <c r="AE215" s="148"/>
      <c r="AF215" s="148"/>
      <c r="AG215" s="148"/>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c r="BI215" s="148"/>
      <c r="BJ215" s="148"/>
      <c r="BK215" s="148"/>
    </row>
    <row r="216" spans="1:63" hidden="1" x14ac:dyDescent="0.25">
      <c r="A216" s="19"/>
      <c r="D216" s="12"/>
      <c r="E216" s="12"/>
      <c r="F216" s="12"/>
      <c r="G216" s="12"/>
      <c r="H216" s="19"/>
      <c r="I216" s="387">
        <f>SUM(M216:T216)</f>
        <v>-2.1600499167107046E-12</v>
      </c>
      <c r="J216" s="388" t="s">
        <v>135</v>
      </c>
      <c r="K216" s="388"/>
      <c r="L216" s="388"/>
      <c r="M216" s="389">
        <f>IF(AND(M196=M190,M210=O210,M196=O196),M214-Q40-SUM(O220),"N/A")</f>
        <v>-2.1600499167107046E-12</v>
      </c>
      <c r="N216" s="389"/>
      <c r="O216" s="376"/>
      <c r="P216" s="148"/>
      <c r="Q216" s="177"/>
      <c r="R216" s="177"/>
      <c r="S216" s="177"/>
      <c r="T216" s="148"/>
      <c r="U216" s="148"/>
      <c r="V216" s="148"/>
      <c r="W216" s="148"/>
      <c r="X216" s="148"/>
      <c r="Y216" s="148"/>
      <c r="Z216" s="148"/>
      <c r="AA216" s="148"/>
      <c r="AB216" s="148"/>
      <c r="AC216" s="148"/>
      <c r="AD216" s="148"/>
      <c r="AE216" s="148"/>
      <c r="AF216" s="148"/>
      <c r="AG216" s="148"/>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c r="BI216" s="148"/>
      <c r="BJ216" s="148"/>
      <c r="BK216" s="148"/>
    </row>
    <row r="217" spans="1:63" hidden="1" x14ac:dyDescent="0.25">
      <c r="A217" s="19"/>
      <c r="D217" s="12"/>
      <c r="E217" s="12"/>
      <c r="F217" s="12"/>
      <c r="G217" s="12"/>
      <c r="H217" s="19"/>
      <c r="I217" s="387">
        <f>SUM(M217:T217)</f>
        <v>0</v>
      </c>
      <c r="J217" s="388" t="s">
        <v>135</v>
      </c>
      <c r="K217" s="388"/>
      <c r="L217" s="388"/>
      <c r="M217" s="389">
        <f>M209-M189</f>
        <v>0</v>
      </c>
      <c r="N217" s="389"/>
      <c r="O217" s="389">
        <f>O209-O189</f>
        <v>0</v>
      </c>
      <c r="P217" s="148"/>
      <c r="Q217" s="177"/>
      <c r="R217" s="177"/>
      <c r="S217" s="177"/>
      <c r="T217" s="148"/>
      <c r="U217" s="148"/>
      <c r="V217" s="148"/>
      <c r="W217" s="148"/>
      <c r="X217" s="148"/>
      <c r="Y217" s="148"/>
      <c r="Z217" s="148"/>
      <c r="AA217" s="148"/>
      <c r="AB217" s="148"/>
      <c r="AC217" s="148"/>
      <c r="AD217" s="148"/>
      <c r="AE217" s="148"/>
      <c r="AF217" s="148"/>
      <c r="AG217" s="148"/>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c r="BI217" s="148"/>
      <c r="BJ217" s="148"/>
      <c r="BK217" s="148"/>
    </row>
    <row r="218" spans="1:63" hidden="1" x14ac:dyDescent="0.25">
      <c r="A218" s="19"/>
      <c r="D218" s="12"/>
      <c r="E218" s="12"/>
      <c r="F218" s="12"/>
      <c r="G218" s="12"/>
      <c r="H218" s="19"/>
      <c r="I218" s="387"/>
      <c r="J218" s="388"/>
      <c r="K218" s="388"/>
      <c r="L218" s="388"/>
      <c r="M218" s="389"/>
      <c r="N218" s="389"/>
      <c r="O218" s="389"/>
      <c r="P218" s="148"/>
      <c r="Q218" s="177"/>
      <c r="R218" s="177"/>
      <c r="S218" s="177"/>
      <c r="T218" s="148"/>
      <c r="U218" s="148"/>
      <c r="V218" s="148"/>
      <c r="W218" s="148"/>
      <c r="X218" s="148"/>
      <c r="Y218" s="148"/>
      <c r="Z218" s="148"/>
      <c r="AA218" s="148"/>
      <c r="AB218" s="148"/>
      <c r="AC218" s="148"/>
      <c r="AD218" s="148"/>
      <c r="AE218" s="148"/>
      <c r="AF218" s="148"/>
      <c r="AG218" s="148"/>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c r="BI218" s="148"/>
      <c r="BJ218" s="148"/>
      <c r="BK218" s="148"/>
    </row>
    <row r="219" spans="1:63" hidden="1" x14ac:dyDescent="0.25">
      <c r="A219" s="19"/>
      <c r="D219" s="12"/>
      <c r="E219" s="84" t="s">
        <v>136</v>
      </c>
      <c r="F219" s="84" t="s">
        <v>137</v>
      </c>
      <c r="G219" s="125">
        <f>SUMIF($C$28:$C$29,I219,$D$28:$D$29)</f>
        <v>6100</v>
      </c>
      <c r="H219" s="19"/>
      <c r="I219" s="357" t="str">
        <f>$D$26</f>
        <v>Single</v>
      </c>
      <c r="J219" s="388"/>
      <c r="K219" s="388"/>
      <c r="L219" s="388"/>
      <c r="M219" s="390" t="s">
        <v>138</v>
      </c>
      <c r="N219" s="391">
        <f>M137</f>
        <v>0.25</v>
      </c>
      <c r="O219" s="148"/>
      <c r="P219" s="148"/>
      <c r="Q219" s="177"/>
      <c r="R219" s="177"/>
      <c r="S219" s="177"/>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c r="BI219" s="148"/>
      <c r="BJ219" s="148"/>
      <c r="BK219" s="148"/>
    </row>
    <row r="220" spans="1:63" ht="15.75" hidden="1" x14ac:dyDescent="0.25">
      <c r="A220" s="19"/>
      <c r="D220" s="12"/>
      <c r="E220" s="12"/>
      <c r="F220" s="12"/>
      <c r="G220" s="12"/>
      <c r="H220" s="19"/>
      <c r="I220" s="252"/>
      <c r="J220" s="343"/>
      <c r="K220" s="343"/>
      <c r="L220" s="343"/>
      <c r="M220" s="390" t="s">
        <v>139</v>
      </c>
      <c r="N220" s="392">
        <f>M33</f>
        <v>0.25</v>
      </c>
      <c r="O220" s="393">
        <f>$G$26</f>
        <v>0</v>
      </c>
      <c r="P220" s="148"/>
      <c r="Q220" s="177"/>
      <c r="R220" s="177"/>
      <c r="S220" s="177"/>
      <c r="T220" s="148"/>
      <c r="U220" s="148"/>
      <c r="V220" s="148"/>
      <c r="W220" s="148"/>
      <c r="X220" s="148"/>
      <c r="Y220" s="148"/>
      <c r="Z220" s="148"/>
      <c r="AA220" s="148"/>
      <c r="AB220" s="148"/>
      <c r="AC220" s="148"/>
      <c r="AD220" s="148"/>
      <c r="AE220" s="148"/>
      <c r="AF220" s="148"/>
      <c r="AG220" s="148"/>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c r="BI220" s="148"/>
      <c r="BJ220" s="148"/>
      <c r="BK220" s="148"/>
    </row>
    <row r="221" spans="1:63" ht="18.75" hidden="1" customHeight="1" x14ac:dyDescent="0.25">
      <c r="A221" s="19"/>
      <c r="B221" s="130" t="s">
        <v>140</v>
      </c>
      <c r="C221" s="130" t="s">
        <v>141</v>
      </c>
      <c r="D221" s="12"/>
      <c r="E221" s="12"/>
      <c r="F221" s="12"/>
      <c r="G221" s="12"/>
      <c r="H221" s="19"/>
      <c r="I221" s="252"/>
      <c r="J221" s="343"/>
      <c r="K221" s="343"/>
      <c r="L221" s="343"/>
      <c r="M221" s="429" t="s">
        <v>142</v>
      </c>
      <c r="N221" s="394" t="s">
        <v>134</v>
      </c>
      <c r="O221" s="395"/>
      <c r="P221" s="148"/>
      <c r="Q221" s="177"/>
      <c r="R221" s="177"/>
      <c r="S221" s="177"/>
      <c r="T221" s="148"/>
      <c r="U221" s="148"/>
      <c r="V221" s="148"/>
      <c r="W221" s="148"/>
      <c r="X221" s="148"/>
      <c r="Y221" s="148"/>
      <c r="Z221" s="148"/>
      <c r="AA221" s="148"/>
      <c r="AB221" s="148"/>
      <c r="AC221" s="148"/>
      <c r="AD221" s="148"/>
      <c r="AE221" s="148"/>
      <c r="AF221" s="148"/>
      <c r="AG221" s="148"/>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c r="BI221" s="148"/>
      <c r="BJ221" s="148"/>
      <c r="BK221" s="148"/>
    </row>
    <row r="222" spans="1:63" ht="15" hidden="1" customHeight="1" x14ac:dyDescent="0.25">
      <c r="A222" s="19"/>
      <c r="B222" s="131" t="s">
        <v>143</v>
      </c>
      <c r="C222" s="131" t="s">
        <v>143</v>
      </c>
      <c r="D222" s="132" t="s">
        <v>144</v>
      </c>
      <c r="E222" s="133">
        <f>E40</f>
        <v>41852</v>
      </c>
      <c r="F222" s="134" t="str">
        <f>F40</f>
        <v>NO</v>
      </c>
      <c r="G222" s="12"/>
      <c r="H222" s="19"/>
      <c r="I222" s="252"/>
      <c r="J222" s="343"/>
      <c r="K222" s="343"/>
      <c r="L222" s="343"/>
      <c r="M222" s="429"/>
      <c r="N222" s="396" t="s">
        <v>77</v>
      </c>
      <c r="O222" s="396" t="s">
        <v>0</v>
      </c>
      <c r="P222" s="148"/>
      <c r="Q222" s="295" t="s">
        <v>145</v>
      </c>
      <c r="R222" s="177"/>
      <c r="S222" s="177"/>
      <c r="T222" s="295"/>
      <c r="U222" s="295"/>
      <c r="V222" s="148"/>
      <c r="W222" s="148"/>
      <c r="X222" s="148"/>
      <c r="Y222" s="148"/>
      <c r="Z222" s="148"/>
      <c r="AA222" s="148"/>
      <c r="AB222" s="148"/>
      <c r="AC222" s="148"/>
      <c r="AD222" s="148"/>
      <c r="AE222" s="148"/>
      <c r="AF222" s="148"/>
      <c r="AG222" s="148"/>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c r="BI222" s="148"/>
      <c r="BJ222" s="148"/>
      <c r="BK222" s="148"/>
    </row>
    <row r="223" spans="1:63" hidden="1" x14ac:dyDescent="0.25">
      <c r="A223" s="19"/>
      <c r="B223" s="114">
        <f>((($D223*(1-$D$122))-($E$124*$G$122)-(($M$121/$C$148)*$C$124)-($D223*$E$122)-M223)*$C$122)+((M$121/$C$148)*$C$124)+(M223)+($D223*$E$122)-N223</f>
        <v>9846.0970344035341</v>
      </c>
      <c r="C223" s="114" t="e">
        <f>((($D223*(1-$D$122))-($E$124*$G$122)-(($M$121/$C$148)*$C$124)-($D223*$E$122)-#REF!)*$C$122)+((M$121/$C$148)*$C$124)+(#REF!)+($D223*$E$122)-R223</f>
        <v>#REF!</v>
      </c>
      <c r="D223" s="72">
        <f>$G$29</f>
        <v>68000</v>
      </c>
      <c r="E223" s="96">
        <f>IF(OR(SUM($E$222)=0,$E$222=""),"",COUNTIF($F$271:$F$632,$F223))</f>
        <v>5</v>
      </c>
      <c r="F223" s="97">
        <f>IF(E222="",F$72,YEAR(E222))</f>
        <v>2014</v>
      </c>
      <c r="G223" s="95">
        <v>1</v>
      </c>
      <c r="H223" s="19"/>
      <c r="I223" s="387">
        <f>IF(G223=G$127,G$133-B223+SUM(W223),"")</f>
        <v>0</v>
      </c>
      <c r="J223" s="343"/>
      <c r="K223" s="343"/>
      <c r="L223" s="343"/>
      <c r="M223" s="301">
        <f t="shared" ref="M223:M253" si="27">IF(AND($F$40="YES",G223=""),"",IF($F$40="YES",SUMIF($G$271:$G$632,$G223,M$271:M$632),SUMIF($F$271:$F$632,$F223,M$271:M$632)))</f>
        <v>3272.5756838023922</v>
      </c>
      <c r="N223" s="361">
        <f t="shared" ref="N223:N253" si="28">IF(AND($F$40="YES",G223=""),"",IF(N$220&lt;=$D$118,M223*N$220,MIN($C$118,M223*N$220)))</f>
        <v>818.14392095059804</v>
      </c>
      <c r="O223" s="361">
        <f t="shared" ref="O223:O253" si="29">IF(AND($F$40="YES",G223=""),"",IF($Q223=$G$219,N223,N223-IF(N$220&lt;=$D$118,(M223*N$220)*N$219,MIN($C$118,M223*N$220)*N$219))+IF($G223=1,-O$220,0))</f>
        <v>613.60794071294856</v>
      </c>
      <c r="P223" s="148"/>
      <c r="Q223" s="261">
        <f t="shared" ref="Q223:Q253" si="30">MAX($G$219,$B223)</f>
        <v>9846.0970344035341</v>
      </c>
      <c r="R223" s="177"/>
      <c r="S223" s="177"/>
      <c r="T223" s="261"/>
      <c r="U223" s="261"/>
      <c r="V223" s="148"/>
      <c r="W223" s="300"/>
      <c r="X223" s="148"/>
      <c r="Y223" s="148"/>
      <c r="Z223" s="148"/>
      <c r="AA223" s="148"/>
      <c r="AB223" s="148"/>
      <c r="AC223" s="148"/>
      <c r="AD223" s="148"/>
      <c r="AE223" s="148"/>
      <c r="AF223" s="148"/>
      <c r="AG223" s="148"/>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c r="BI223" s="148"/>
      <c r="BJ223" s="148"/>
      <c r="BK223" s="148"/>
    </row>
    <row r="224" spans="1:63" hidden="1" x14ac:dyDescent="0.25">
      <c r="A224" s="19"/>
      <c r="B224" s="114">
        <f t="shared" ref="B224:B253" si="31">((($D224*(1-$D$122))-($E$124*$G$122)-(($M$121/$C$148)*$C$124)-($D224*$E$122)-M224)*$C$122)+((M$121/$C$148)*$C$124)+(M224)+($D224*$E$122)-N224</f>
        <v>12862.927838500109</v>
      </c>
      <c r="C224" s="114" t="e">
        <f>((($D224*(1-$D$122))-($E$124*$G$122)-(($M$121/$C$148)*$C$124)-($D224*$E$122)-#REF!)*$C$122)+((M$121/$C$148)*$C$124)+(#REF!)+($D224*$E$122)-R224</f>
        <v>#REF!</v>
      </c>
      <c r="D224" s="72">
        <f>$G$29</f>
        <v>68000</v>
      </c>
      <c r="E224" s="96">
        <f t="shared" ref="E224:E253" si="32">IF(OR(SUM($E$222)=0,$E$222=""),"",COUNTIF($F$271:$F$632,$F224))</f>
        <v>12</v>
      </c>
      <c r="F224" s="63">
        <f>F223+1</f>
        <v>2015</v>
      </c>
      <c r="G224" s="98">
        <f>G223+1</f>
        <v>2</v>
      </c>
      <c r="H224" s="19"/>
      <c r="I224" s="387" t="str">
        <f>IF(G224=G$127,G$133-B224+SUM(W224),"")</f>
        <v/>
      </c>
      <c r="J224" s="343"/>
      <c r="K224" s="343"/>
      <c r="L224" s="343"/>
      <c r="M224" s="397">
        <f t="shared" si="27"/>
        <v>7763.9122985062368</v>
      </c>
      <c r="N224" s="361">
        <f t="shared" si="28"/>
        <v>1940.9780746265592</v>
      </c>
      <c r="O224" s="361">
        <f t="shared" si="29"/>
        <v>1455.7335559699195</v>
      </c>
      <c r="P224" s="148"/>
      <c r="Q224" s="261">
        <f t="shared" si="30"/>
        <v>12862.927838500109</v>
      </c>
      <c r="R224" s="177"/>
      <c r="S224" s="177"/>
      <c r="T224" s="261"/>
      <c r="U224" s="261"/>
      <c r="V224" s="148"/>
      <c r="W224" s="300"/>
      <c r="X224" s="148"/>
      <c r="Y224" s="148"/>
      <c r="Z224" s="148"/>
      <c r="AA224" s="148"/>
      <c r="AB224" s="148"/>
      <c r="AC224" s="148"/>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c r="BI224" s="148"/>
      <c r="BJ224" s="148"/>
      <c r="BK224" s="148"/>
    </row>
    <row r="225" spans="1:63" hidden="1" x14ac:dyDescent="0.25">
      <c r="A225" s="19"/>
      <c r="B225" s="114">
        <f t="shared" si="31"/>
        <v>12774.166074550059</v>
      </c>
      <c r="C225" s="114" t="e">
        <f>((($D225*(1-$D$122))-($E$124*$G$122)-(($M$121/$C$148)*$C$124)-($D225*$E$122)-#REF!)*$C$122)+((M$121/$C$148)*$C$124)+(#REF!)+($D225*$E$122)-R225</f>
        <v>#REF!</v>
      </c>
      <c r="D225" s="72">
        <f>$G$29</f>
        <v>68000</v>
      </c>
      <c r="E225" s="96">
        <f t="shared" si="32"/>
        <v>12</v>
      </c>
      <c r="F225" s="63">
        <f t="shared" ref="F225:G240" si="33">F224+1</f>
        <v>2016</v>
      </c>
      <c r="G225" s="98">
        <f t="shared" si="33"/>
        <v>3</v>
      </c>
      <c r="H225" s="19"/>
      <c r="I225" s="387">
        <f>IF(G225=G$144,G$150-B225+SUM(W225),"")</f>
        <v>0</v>
      </c>
      <c r="J225" s="343"/>
      <c r="K225" s="343"/>
      <c r="L225" s="343"/>
      <c r="M225" s="397">
        <f t="shared" si="27"/>
        <v>7631.7673469652964</v>
      </c>
      <c r="N225" s="361">
        <f t="shared" si="28"/>
        <v>1907.9418367413241</v>
      </c>
      <c r="O225" s="361">
        <f t="shared" si="29"/>
        <v>1430.9563775559932</v>
      </c>
      <c r="P225" s="148"/>
      <c r="Q225" s="261">
        <f t="shared" si="30"/>
        <v>12774.166074550059</v>
      </c>
      <c r="R225" s="177"/>
      <c r="S225" s="177"/>
      <c r="T225" s="261"/>
      <c r="U225" s="261"/>
      <c r="V225" s="148"/>
      <c r="W225" s="300"/>
      <c r="X225" s="148"/>
      <c r="Y225" s="148"/>
      <c r="Z225" s="148"/>
      <c r="AA225" s="148"/>
      <c r="AB225" s="148"/>
      <c r="AC225" s="148"/>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c r="BI225" s="148"/>
      <c r="BJ225" s="148"/>
      <c r="BK225" s="148"/>
    </row>
    <row r="226" spans="1:63" hidden="1" x14ac:dyDescent="0.25">
      <c r="A226" s="19"/>
      <c r="B226" s="114">
        <f t="shared" si="31"/>
        <v>12681.32661069385</v>
      </c>
      <c r="C226" s="114" t="e">
        <f>((($D226*(1-$D$122))-($E$124*$G$122)-(($M$121/$C$148)*$C$124)-($D226*$E$122)-#REF!)*$C$122)+((M$121/$C$148)*$C$124)+(#REF!)+($D226*$E$122)-R226</f>
        <v>#REF!</v>
      </c>
      <c r="D226" s="72">
        <f t="shared" ref="D226:D253" si="34">$G$29</f>
        <v>68000</v>
      </c>
      <c r="E226" s="96">
        <f t="shared" si="32"/>
        <v>12</v>
      </c>
      <c r="F226" s="63">
        <f t="shared" si="33"/>
        <v>2017</v>
      </c>
      <c r="G226" s="98">
        <f t="shared" si="33"/>
        <v>4</v>
      </c>
      <c r="H226" s="19"/>
      <c r="I226" s="387" t="str">
        <f>IF(G226=G$144,G$150-B226+SUM(W226),"")</f>
        <v/>
      </c>
      <c r="J226" s="343"/>
      <c r="K226" s="343"/>
      <c r="L226" s="343"/>
      <c r="M226" s="397">
        <f t="shared" si="27"/>
        <v>7493.5516794705691</v>
      </c>
      <c r="N226" s="361">
        <f t="shared" si="28"/>
        <v>1873.3879198676423</v>
      </c>
      <c r="O226" s="361">
        <f t="shared" si="29"/>
        <v>1405.0409399007317</v>
      </c>
      <c r="P226" s="148"/>
      <c r="Q226" s="261">
        <f t="shared" si="30"/>
        <v>12681.32661069385</v>
      </c>
      <c r="R226" s="177"/>
      <c r="S226" s="177"/>
      <c r="T226" s="261"/>
      <c r="U226" s="261"/>
      <c r="V226" s="148"/>
      <c r="W226" s="300"/>
      <c r="X226" s="148"/>
      <c r="Y226" s="148"/>
      <c r="Z226" s="148"/>
      <c r="AA226" s="148"/>
      <c r="AB226" s="148"/>
      <c r="AC226" s="148"/>
      <c r="AD226" s="148"/>
      <c r="AE226" s="148"/>
      <c r="AF226" s="148"/>
      <c r="AG226" s="148"/>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c r="BI226" s="148"/>
      <c r="BJ226" s="148"/>
      <c r="BK226" s="148"/>
    </row>
    <row r="227" spans="1:63" hidden="1" x14ac:dyDescent="0.25">
      <c r="A227" s="19"/>
      <c r="B227" s="114">
        <f t="shared" si="31"/>
        <v>12584.222118111225</v>
      </c>
      <c r="C227" s="114" t="e">
        <f>((($D227*(1-$D$122))-($E$124*$G$122)-(($M$121/$C$148)*$C$124)-($D227*$E$122)-#REF!)*$C$122)+((M$121/$C$148)*$C$124)+(#REF!)+($D227*$E$122)-R227</f>
        <v>#REF!</v>
      </c>
      <c r="D227" s="72">
        <f t="shared" si="34"/>
        <v>68000</v>
      </c>
      <c r="E227" s="96">
        <f t="shared" si="32"/>
        <v>12</v>
      </c>
      <c r="F227" s="63">
        <f t="shared" si="33"/>
        <v>2018</v>
      </c>
      <c r="G227" s="98">
        <f t="shared" si="33"/>
        <v>5</v>
      </c>
      <c r="H227" s="19"/>
      <c r="I227" s="387">
        <f>IF(G227=G$161,G$167-B227+SUM(W227),"")</f>
        <v>0</v>
      </c>
      <c r="J227" s="343"/>
      <c r="K227" s="343"/>
      <c r="L227" s="343"/>
      <c r="M227" s="397">
        <f t="shared" si="27"/>
        <v>7348.9864083932644</v>
      </c>
      <c r="N227" s="361">
        <f t="shared" si="28"/>
        <v>1837.2466020983161</v>
      </c>
      <c r="O227" s="361">
        <f t="shared" si="29"/>
        <v>1377.9349515737372</v>
      </c>
      <c r="P227" s="148"/>
      <c r="Q227" s="261">
        <f t="shared" si="30"/>
        <v>12584.222118111225</v>
      </c>
      <c r="R227" s="177"/>
      <c r="S227" s="177"/>
      <c r="T227" s="261"/>
      <c r="U227" s="261"/>
      <c r="V227" s="148"/>
      <c r="W227" s="300"/>
      <c r="X227" s="148"/>
      <c r="Y227" s="148"/>
      <c r="Z227" s="148"/>
      <c r="AA227" s="148"/>
      <c r="AB227" s="148"/>
      <c r="AC227" s="148"/>
      <c r="AD227" s="148"/>
      <c r="AE227" s="148"/>
      <c r="AF227" s="148"/>
      <c r="AG227" s="148"/>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c r="BI227" s="148"/>
      <c r="BJ227" s="148"/>
      <c r="BK227" s="148"/>
    </row>
    <row r="228" spans="1:63" hidden="1" x14ac:dyDescent="0.25">
      <c r="A228" s="19"/>
      <c r="B228" s="114">
        <f t="shared" si="31"/>
        <v>12482.656662128698</v>
      </c>
      <c r="C228" s="114" t="e">
        <f>((($D228*(1-$D$122))-($E$124*$G$122)-(($M$121/$C$148)*$C$124)-($D228*$E$122)-#REF!)*$C$122)+((M$121/$C$148)*$C$124)+(#REF!)+($D228*$E$122)-R228</f>
        <v>#REF!</v>
      </c>
      <c r="D228" s="72">
        <f t="shared" si="34"/>
        <v>68000</v>
      </c>
      <c r="E228" s="96">
        <f t="shared" si="32"/>
        <v>12</v>
      </c>
      <c r="F228" s="63">
        <f t="shared" si="33"/>
        <v>2019</v>
      </c>
      <c r="G228" s="98">
        <f t="shared" si="33"/>
        <v>6</v>
      </c>
      <c r="H228" s="19"/>
      <c r="I228" s="387" t="str">
        <f>IF(G228=G$161,G$167-B228+SUM(W228),"")</f>
        <v/>
      </c>
      <c r="J228" s="343"/>
      <c r="K228" s="343"/>
      <c r="L228" s="343"/>
      <c r="M228" s="397">
        <f t="shared" si="27"/>
        <v>7197.7798340557229</v>
      </c>
      <c r="N228" s="361">
        <f t="shared" si="28"/>
        <v>1799.4449585139307</v>
      </c>
      <c r="O228" s="361">
        <f t="shared" si="29"/>
        <v>1349.583718885448</v>
      </c>
      <c r="P228" s="148"/>
      <c r="Q228" s="261">
        <f t="shared" si="30"/>
        <v>12482.656662128698</v>
      </c>
      <c r="R228" s="177"/>
      <c r="S228" s="177"/>
      <c r="T228" s="261"/>
      <c r="U228" s="261"/>
      <c r="V228" s="148"/>
      <c r="W228" s="300" t="str">
        <f>IF(G228=G$161,AD$167-C228,"")</f>
        <v/>
      </c>
      <c r="X228" s="148"/>
      <c r="Y228" s="148"/>
      <c r="Z228" s="148"/>
      <c r="AA228" s="148"/>
      <c r="AB228" s="148"/>
      <c r="AC228" s="148"/>
      <c r="AD228" s="148"/>
      <c r="AE228" s="148"/>
      <c r="AF228" s="148"/>
      <c r="AG228" s="148"/>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c r="BI228" s="148"/>
      <c r="BJ228" s="148"/>
      <c r="BK228" s="148"/>
    </row>
    <row r="229" spans="1:63" hidden="1" x14ac:dyDescent="0.25">
      <c r="A229" s="19"/>
      <c r="B229" s="114">
        <f t="shared" si="31"/>
        <v>12376.425306868165</v>
      </c>
      <c r="C229" s="114" t="e">
        <f>((($D229*(1-$D$122))-($E$124*$G$122)-(($M$121/$C$148)*$C$124)-($D229*$E$122)-#REF!)*$C$122)+((M$121/$C$148)*$C$124)+(#REF!)+($D229*$E$122)-R229</f>
        <v>#REF!</v>
      </c>
      <c r="D229" s="72">
        <f t="shared" si="34"/>
        <v>68000</v>
      </c>
      <c r="E229" s="96">
        <f t="shared" si="32"/>
        <v>12</v>
      </c>
      <c r="F229" s="63">
        <f t="shared" si="33"/>
        <v>2020</v>
      </c>
      <c r="G229" s="98">
        <f t="shared" si="33"/>
        <v>7</v>
      </c>
      <c r="H229" s="19"/>
      <c r="I229" s="387" t="str">
        <f>IF(G229=G$161,G$167-B229,"")</f>
        <v/>
      </c>
      <c r="J229" s="343"/>
      <c r="K229" s="343"/>
      <c r="L229" s="343"/>
      <c r="M229" s="397">
        <f t="shared" si="27"/>
        <v>7039.6268561481265</v>
      </c>
      <c r="N229" s="361">
        <f t="shared" si="28"/>
        <v>1759.9067140370316</v>
      </c>
      <c r="O229" s="361">
        <f t="shared" si="29"/>
        <v>1319.9300355277737</v>
      </c>
      <c r="P229" s="148"/>
      <c r="Q229" s="261">
        <f t="shared" si="30"/>
        <v>12376.425306868165</v>
      </c>
      <c r="R229" s="177"/>
      <c r="S229" s="177"/>
      <c r="T229" s="261"/>
      <c r="U229" s="261"/>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c r="BI229" s="148"/>
      <c r="BJ229" s="148"/>
      <c r="BK229" s="148"/>
    </row>
    <row r="230" spans="1:63" hidden="1" x14ac:dyDescent="0.25">
      <c r="A230" s="19"/>
      <c r="B230" s="114">
        <f t="shared" si="31"/>
        <v>12265.313701733139</v>
      </c>
      <c r="C230" s="114" t="e">
        <f>((($D230*(1-$D$122))-($E$124*$G$122)-(($M$121/$C$148)*$C$124)-($D230*$E$122)-#REF!)*$C$122)+((M$121/$C$148)*$C$124)+(#REF!)+($D230*$E$122)-R230</f>
        <v>#REF!</v>
      </c>
      <c r="D230" s="72">
        <f t="shared" si="34"/>
        <v>68000</v>
      </c>
      <c r="E230" s="96">
        <f t="shared" si="32"/>
        <v>12</v>
      </c>
      <c r="F230" s="63">
        <f t="shared" si="33"/>
        <v>2021</v>
      </c>
      <c r="G230" s="98">
        <f t="shared" si="33"/>
        <v>8</v>
      </c>
      <c r="H230" s="19"/>
      <c r="I230" s="252"/>
      <c r="J230" s="343"/>
      <c r="K230" s="343"/>
      <c r="L230" s="343"/>
      <c r="M230" s="397">
        <f t="shared" si="27"/>
        <v>6874.2083581058087</v>
      </c>
      <c r="N230" s="361">
        <f t="shared" si="28"/>
        <v>1718.5520895264522</v>
      </c>
      <c r="O230" s="361">
        <f t="shared" si="29"/>
        <v>1288.914067144839</v>
      </c>
      <c r="P230" s="148"/>
      <c r="Q230" s="261">
        <f t="shared" si="30"/>
        <v>12265.313701733139</v>
      </c>
      <c r="R230" s="177"/>
      <c r="S230" s="177"/>
      <c r="T230" s="261"/>
      <c r="U230" s="261"/>
      <c r="V230" s="148"/>
      <c r="W230" s="148"/>
      <c r="X230" s="148"/>
      <c r="Y230" s="148"/>
      <c r="Z230" s="148"/>
      <c r="AA230" s="148"/>
      <c r="AB230" s="148"/>
      <c r="AC230" s="148"/>
      <c r="AD230" s="148"/>
      <c r="AE230" s="148"/>
      <c r="AF230" s="148"/>
      <c r="AG230" s="148"/>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c r="BI230" s="148"/>
      <c r="BJ230" s="148"/>
      <c r="BK230" s="148"/>
    </row>
    <row r="231" spans="1:63" hidden="1" x14ac:dyDescent="0.25">
      <c r="A231" s="19"/>
      <c r="B231" s="114">
        <f t="shared" si="31"/>
        <v>12149.097648898234</v>
      </c>
      <c r="C231" s="114" t="e">
        <f>((($D231*(1-$D$122))-($E$124*$G$122)-(($M$121/$C$148)*$C$124)-($D231*$E$122)-#REF!)*$C$122)+((M$121/$C$148)*$C$124)+(#REF!)+($D231*$E$122)-R231</f>
        <v>#REF!</v>
      </c>
      <c r="D231" s="72">
        <f t="shared" si="34"/>
        <v>68000</v>
      </c>
      <c r="E231" s="96">
        <f t="shared" si="32"/>
        <v>12</v>
      </c>
      <c r="F231" s="63">
        <f t="shared" si="33"/>
        <v>2022</v>
      </c>
      <c r="G231" s="98">
        <f t="shared" si="33"/>
        <v>9</v>
      </c>
      <c r="H231" s="19"/>
      <c r="I231" s="252"/>
      <c r="J231" s="343"/>
      <c r="K231" s="343"/>
      <c r="L231" s="343"/>
      <c r="M231" s="397">
        <f t="shared" si="27"/>
        <v>6701.1905632049493</v>
      </c>
      <c r="N231" s="361">
        <f t="shared" si="28"/>
        <v>1675.2976408012373</v>
      </c>
      <c r="O231" s="361">
        <f t="shared" si="29"/>
        <v>1256.473230600928</v>
      </c>
      <c r="P231" s="148"/>
      <c r="Q231" s="261">
        <f t="shared" si="30"/>
        <v>12149.097648898234</v>
      </c>
      <c r="R231" s="177"/>
      <c r="S231" s="177"/>
      <c r="T231" s="261"/>
      <c r="U231" s="261"/>
      <c r="V231" s="148"/>
      <c r="W231" s="148"/>
      <c r="X231" s="148"/>
      <c r="Y231" s="148"/>
      <c r="Z231" s="148"/>
      <c r="AA231" s="148"/>
      <c r="AB231" s="148"/>
      <c r="AC231" s="148"/>
      <c r="AD231" s="148"/>
      <c r="AE231" s="148"/>
      <c r="AF231" s="148"/>
      <c r="AG231" s="148"/>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c r="BI231" s="148"/>
      <c r="BJ231" s="148"/>
      <c r="BK231" s="148"/>
    </row>
    <row r="232" spans="1:63" hidden="1" x14ac:dyDescent="0.25">
      <c r="A232" s="19"/>
      <c r="B232" s="114">
        <f t="shared" si="31"/>
        <v>12027.542650929181</v>
      </c>
      <c r="C232" s="114" t="e">
        <f>((($D232*(1-$D$122))-($E$124*$G$122)-(($M$121/$C$148)*$C$124)-($D232*$E$122)-#REF!)*$C$122)+((M$121/$C$148)*$C$124)+(#REF!)+($D232*$E$122)-R232</f>
        <v>#REF!</v>
      </c>
      <c r="D232" s="72">
        <f t="shared" si="34"/>
        <v>68000</v>
      </c>
      <c r="E232" s="96">
        <f t="shared" si="32"/>
        <v>12</v>
      </c>
      <c r="F232" s="63">
        <f t="shared" si="33"/>
        <v>2023</v>
      </c>
      <c r="G232" s="98">
        <f t="shared" si="33"/>
        <v>10</v>
      </c>
      <c r="H232" s="19"/>
      <c r="I232" s="252"/>
      <c r="J232" s="343"/>
      <c r="K232" s="343"/>
      <c r="L232" s="343"/>
      <c r="M232" s="397">
        <f t="shared" si="27"/>
        <v>6520.2243610774358</v>
      </c>
      <c r="N232" s="361">
        <f t="shared" si="28"/>
        <v>1630.0560902693589</v>
      </c>
      <c r="O232" s="361">
        <f t="shared" si="29"/>
        <v>1222.5420677020193</v>
      </c>
      <c r="P232" s="148"/>
      <c r="Q232" s="261">
        <f t="shared" si="30"/>
        <v>12027.542650929181</v>
      </c>
      <c r="R232" s="177"/>
      <c r="S232" s="177"/>
      <c r="T232" s="261"/>
      <c r="U232" s="261"/>
      <c r="V232" s="148"/>
      <c r="W232" s="148"/>
      <c r="X232" s="148"/>
      <c r="Y232" s="148"/>
      <c r="Z232" s="148"/>
      <c r="AA232" s="148"/>
      <c r="AB232" s="148"/>
      <c r="AC232" s="148"/>
      <c r="AD232" s="148"/>
      <c r="AE232" s="148"/>
      <c r="AF232" s="148"/>
      <c r="AG232" s="148"/>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c r="BI232" s="148"/>
      <c r="BJ232" s="148"/>
      <c r="BK232" s="148"/>
    </row>
    <row r="233" spans="1:63" hidden="1" x14ac:dyDescent="0.25">
      <c r="A233" s="19"/>
      <c r="B233" s="114">
        <f t="shared" si="31"/>
        <v>11900.403437620622</v>
      </c>
      <c r="C233" s="114" t="e">
        <f>((($D233*(1-$D$122))-($E$124*$G$122)-(($M$121/$C$148)*$C$124)-($D233*$E$122)-#REF!)*$C$122)+((M$121/$C$148)*$C$124)+(#REF!)+($D233*$E$122)-R233</f>
        <v>#REF!</v>
      </c>
      <c r="D233" s="72">
        <f t="shared" si="34"/>
        <v>68000</v>
      </c>
      <c r="E233" s="96">
        <f t="shared" si="32"/>
        <v>12</v>
      </c>
      <c r="F233" s="63">
        <f t="shared" si="33"/>
        <v>2024</v>
      </c>
      <c r="G233" s="98">
        <f t="shared" si="33"/>
        <v>11</v>
      </c>
      <c r="H233" s="19"/>
      <c r="I233" s="252"/>
      <c r="J233" s="343"/>
      <c r="K233" s="343"/>
      <c r="L233" s="343"/>
      <c r="M233" s="397">
        <f t="shared" si="27"/>
        <v>6330.9446032859232</v>
      </c>
      <c r="N233" s="361">
        <f t="shared" si="28"/>
        <v>1582.7361508214808</v>
      </c>
      <c r="O233" s="361">
        <f t="shared" si="29"/>
        <v>1187.0521131161106</v>
      </c>
      <c r="P233" s="148"/>
      <c r="Q233" s="261">
        <f t="shared" si="30"/>
        <v>11900.403437620622</v>
      </c>
      <c r="R233" s="177"/>
      <c r="S233" s="177"/>
      <c r="T233" s="261"/>
      <c r="U233" s="261"/>
      <c r="V233" s="148"/>
      <c r="W233" s="148"/>
      <c r="X233" s="148"/>
      <c r="Y233" s="148"/>
      <c r="Z233" s="148"/>
      <c r="AA233" s="148"/>
      <c r="AB233" s="148"/>
      <c r="AC233" s="148"/>
      <c r="AD233" s="148"/>
      <c r="AE233" s="148"/>
      <c r="AF233" s="148"/>
      <c r="AG233" s="148"/>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c r="BI233" s="148"/>
      <c r="BJ233" s="148"/>
      <c r="BK233" s="148"/>
    </row>
    <row r="234" spans="1:63" hidden="1" x14ac:dyDescent="0.25">
      <c r="A234" s="19"/>
      <c r="B234" s="114">
        <f t="shared" si="31"/>
        <v>11767.423471096872</v>
      </c>
      <c r="C234" s="114" t="e">
        <f>((($D234*(1-$D$122))-($E$124*$G$122)-(($M$121/$C$148)*$C$124)-($D234*$E$122)-#REF!)*$C$122)+((M$121/$C$148)*$C$124)+(#REF!)+($D234*$E$122)-R234</f>
        <v>#REF!</v>
      </c>
      <c r="D234" s="72">
        <f t="shared" si="34"/>
        <v>68000</v>
      </c>
      <c r="E234" s="96">
        <f t="shared" si="32"/>
        <v>12</v>
      </c>
      <c r="F234" s="63">
        <f t="shared" si="33"/>
        <v>2025</v>
      </c>
      <c r="G234" s="98">
        <f t="shared" si="33"/>
        <v>12</v>
      </c>
      <c r="H234" s="19"/>
      <c r="I234" s="252"/>
      <c r="J234" s="343"/>
      <c r="K234" s="343"/>
      <c r="L234" s="343"/>
      <c r="M234" s="397">
        <f t="shared" si="27"/>
        <v>6132.9693665377436</v>
      </c>
      <c r="N234" s="361">
        <f t="shared" si="28"/>
        <v>1533.2423416344359</v>
      </c>
      <c r="O234" s="361">
        <f t="shared" si="29"/>
        <v>1149.931756225827</v>
      </c>
      <c r="P234" s="148"/>
      <c r="Q234" s="261">
        <f t="shared" si="30"/>
        <v>11767.423471096872</v>
      </c>
      <c r="R234" s="177"/>
      <c r="S234" s="177"/>
      <c r="T234" s="261"/>
      <c r="U234" s="261"/>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c r="BI234" s="148"/>
      <c r="BJ234" s="148"/>
      <c r="BK234" s="148"/>
    </row>
    <row r="235" spans="1:63" hidden="1" x14ac:dyDescent="0.25">
      <c r="A235" s="19"/>
      <c r="B235" s="114">
        <f t="shared" si="31"/>
        <v>11628.334428177113</v>
      </c>
      <c r="C235" s="114" t="e">
        <f>((($D235*(1-$D$122))-($E$124*$G$122)-(($M$121/$C$148)*$C$124)-($D235*$E$122)-#REF!)*$C$122)+((M$121/$C$148)*$C$124)+(#REF!)+($D235*$E$122)-R235</f>
        <v>#REF!</v>
      </c>
      <c r="D235" s="72">
        <f t="shared" si="34"/>
        <v>68000</v>
      </c>
      <c r="E235" s="96">
        <f t="shared" si="32"/>
        <v>12</v>
      </c>
      <c r="F235" s="63">
        <f t="shared" si="33"/>
        <v>2026</v>
      </c>
      <c r="G235" s="98">
        <f t="shared" si="33"/>
        <v>13</v>
      </c>
      <c r="H235" s="19"/>
      <c r="I235" s="252"/>
      <c r="J235" s="343"/>
      <c r="K235" s="343"/>
      <c r="L235" s="343"/>
      <c r="M235" s="397">
        <f t="shared" si="27"/>
        <v>5925.8991820509837</v>
      </c>
      <c r="N235" s="361">
        <f t="shared" si="28"/>
        <v>1481.4747955127459</v>
      </c>
      <c r="O235" s="361">
        <f t="shared" si="29"/>
        <v>1111.1060966345594</v>
      </c>
      <c r="P235" s="148"/>
      <c r="Q235" s="261">
        <f t="shared" si="30"/>
        <v>11628.334428177113</v>
      </c>
      <c r="R235" s="177"/>
      <c r="S235" s="177"/>
      <c r="T235" s="261"/>
      <c r="U235" s="261"/>
      <c r="V235" s="148"/>
      <c r="W235" s="148"/>
      <c r="X235" s="148"/>
      <c r="Y235" s="148"/>
      <c r="Z235" s="148"/>
      <c r="AA235" s="148"/>
      <c r="AB235" s="148"/>
      <c r="AC235" s="148"/>
      <c r="AD235" s="148"/>
      <c r="AE235" s="148"/>
      <c r="AF235" s="148"/>
      <c r="AG235" s="148"/>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c r="BI235" s="148"/>
      <c r="BJ235" s="148"/>
      <c r="BK235" s="148"/>
    </row>
    <row r="236" spans="1:63" hidden="1" x14ac:dyDescent="0.25">
      <c r="A236" s="19"/>
      <c r="B236" s="114">
        <f t="shared" si="31"/>
        <v>11482.855658960561</v>
      </c>
      <c r="C236" s="114" t="e">
        <f>((($D236*(1-$D$122))-($E$124*$G$122)-(($M$121/$C$148)*$C$124)-($D236*$E$122)-#REF!)*$C$122)+((M$121/$C$148)*$C$124)+(#REF!)+($D236*$E$122)-R236</f>
        <v>#REF!</v>
      </c>
      <c r="D236" s="72">
        <f t="shared" si="34"/>
        <v>68000</v>
      </c>
      <c r="E236" s="96">
        <f t="shared" si="32"/>
        <v>12</v>
      </c>
      <c r="F236" s="63">
        <f t="shared" si="33"/>
        <v>2027</v>
      </c>
      <c r="G236" s="98">
        <f t="shared" si="33"/>
        <v>14</v>
      </c>
      <c r="H236" s="19"/>
      <c r="I236" s="252"/>
      <c r="J236" s="343"/>
      <c r="K236" s="343"/>
      <c r="L236" s="343"/>
      <c r="M236" s="397">
        <f t="shared" si="27"/>
        <v>5709.316229517779</v>
      </c>
      <c r="N236" s="361">
        <f t="shared" si="28"/>
        <v>1427.3290573794447</v>
      </c>
      <c r="O236" s="361">
        <f t="shared" si="29"/>
        <v>1070.4967930345836</v>
      </c>
      <c r="P236" s="148"/>
      <c r="Q236" s="261">
        <f t="shared" si="30"/>
        <v>11482.855658960561</v>
      </c>
      <c r="R236" s="177"/>
      <c r="S236" s="177"/>
      <c r="T236" s="261"/>
      <c r="U236" s="261"/>
      <c r="V236" s="148"/>
      <c r="W236" s="148"/>
      <c r="X236" s="148"/>
      <c r="Y236" s="148"/>
      <c r="Z236" s="148"/>
      <c r="AA236" s="148"/>
      <c r="AB236" s="148"/>
      <c r="AC236" s="148"/>
      <c r="AD236" s="148"/>
      <c r="AE236" s="148"/>
      <c r="AF236" s="148"/>
      <c r="AG236" s="148"/>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c r="BI236" s="148"/>
      <c r="BJ236" s="148"/>
      <c r="BK236" s="148"/>
    </row>
    <row r="237" spans="1:63" hidden="1" x14ac:dyDescent="0.25">
      <c r="A237" s="19"/>
      <c r="B237" s="114">
        <f t="shared" si="31"/>
        <v>11330.693620539078</v>
      </c>
      <c r="C237" s="114" t="e">
        <f>((($D237*(1-$D$122))-($E$124*$G$122)-(($M$121/$C$148)*$C$124)-($D237*$E$122)-#REF!)*$C$122)+((M$121/$C$148)*$C$124)+(#REF!)+($D237*$E$122)-R237</f>
        <v>#REF!</v>
      </c>
      <c r="D237" s="72">
        <f t="shared" si="34"/>
        <v>68000</v>
      </c>
      <c r="E237" s="96">
        <f t="shared" si="32"/>
        <v>12</v>
      </c>
      <c r="F237" s="63">
        <f t="shared" si="33"/>
        <v>2028</v>
      </c>
      <c r="G237" s="98">
        <f t="shared" si="33"/>
        <v>15</v>
      </c>
      <c r="H237" s="19"/>
      <c r="I237" s="252"/>
      <c r="J237" s="343"/>
      <c r="K237" s="343"/>
      <c r="L237" s="343"/>
      <c r="M237" s="397">
        <f t="shared" si="27"/>
        <v>5482.7834940384237</v>
      </c>
      <c r="N237" s="361">
        <f t="shared" si="28"/>
        <v>1370.6958735096059</v>
      </c>
      <c r="O237" s="361">
        <f t="shared" si="29"/>
        <v>1028.0219051322044</v>
      </c>
      <c r="P237" s="148"/>
      <c r="Q237" s="261">
        <f t="shared" si="30"/>
        <v>11330.693620539078</v>
      </c>
      <c r="R237" s="177"/>
      <c r="S237" s="177"/>
      <c r="T237" s="261"/>
      <c r="U237" s="261"/>
      <c r="V237" s="148"/>
      <c r="W237" s="148"/>
      <c r="X237" s="148"/>
      <c r="Y237" s="148"/>
      <c r="Z237" s="148"/>
      <c r="AA237" s="148"/>
      <c r="AB237" s="148"/>
      <c r="AC237" s="148"/>
      <c r="AD237" s="148"/>
      <c r="AE237" s="148"/>
      <c r="AF237" s="148"/>
      <c r="AG237" s="148"/>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row>
    <row r="238" spans="1:63" hidden="1" x14ac:dyDescent="0.25">
      <c r="A238" s="19"/>
      <c r="B238" s="114">
        <f t="shared" si="31"/>
        <v>11171.541284694693</v>
      </c>
      <c r="C238" s="114" t="e">
        <f>((($D238*(1-$D$122))-($E$124*$G$122)-(($M$121/$C$148)*$C$124)-($D238*$E$122)-#REF!)*$C$122)+((M$121/$C$148)*$C$124)+(#REF!)+($D238*$E$122)-R238</f>
        <v>#REF!</v>
      </c>
      <c r="D238" s="72">
        <f t="shared" si="34"/>
        <v>68000</v>
      </c>
      <c r="E238" s="96">
        <f t="shared" si="32"/>
        <v>12</v>
      </c>
      <c r="F238" s="63">
        <f t="shared" si="33"/>
        <v>2029</v>
      </c>
      <c r="G238" s="98">
        <f t="shared" si="33"/>
        <v>16</v>
      </c>
      <c r="H238" s="19"/>
      <c r="I238" s="252"/>
      <c r="J238" s="343"/>
      <c r="K238" s="343"/>
      <c r="L238" s="343"/>
      <c r="M238" s="397">
        <f t="shared" si="27"/>
        <v>5245.8438843251806</v>
      </c>
      <c r="N238" s="361">
        <f t="shared" si="28"/>
        <v>1311.4609710812952</v>
      </c>
      <c r="O238" s="361">
        <f t="shared" si="29"/>
        <v>983.59572831097137</v>
      </c>
      <c r="P238" s="148"/>
      <c r="Q238" s="261">
        <f t="shared" si="30"/>
        <v>11171.541284694693</v>
      </c>
      <c r="R238" s="177"/>
      <c r="S238" s="177"/>
      <c r="T238" s="261"/>
      <c r="U238" s="261"/>
      <c r="V238" s="148"/>
      <c r="W238" s="148"/>
      <c r="X238" s="148"/>
      <c r="Y238" s="148"/>
      <c r="Z238" s="148"/>
      <c r="AA238" s="148"/>
      <c r="AB238" s="148"/>
      <c r="AC238" s="148"/>
      <c r="AD238" s="148"/>
      <c r="AE238" s="148"/>
      <c r="AF238" s="148"/>
      <c r="AG238" s="148"/>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row>
    <row r="239" spans="1:63" hidden="1" x14ac:dyDescent="0.25">
      <c r="A239" s="19"/>
      <c r="B239" s="114">
        <f t="shared" si="31"/>
        <v>11005.077518386814</v>
      </c>
      <c r="C239" s="114" t="e">
        <f>((($D239*(1-$D$122))-($E$124*$G$122)-(($M$121/$C$148)*$C$124)-($D239*$E$122)-#REF!)*$C$122)+((M$121/$C$148)*$C$124)+(#REF!)+($D239*$E$122)-R239</f>
        <v>#REF!</v>
      </c>
      <c r="D239" s="72">
        <f t="shared" si="34"/>
        <v>68000</v>
      </c>
      <c r="E239" s="96">
        <f t="shared" si="32"/>
        <v>12</v>
      </c>
      <c r="F239" s="63">
        <f t="shared" si="33"/>
        <v>2030</v>
      </c>
      <c r="G239" s="98">
        <f t="shared" si="33"/>
        <v>17</v>
      </c>
      <c r="H239" s="19"/>
      <c r="I239" s="252"/>
      <c r="J239" s="343"/>
      <c r="K239" s="343"/>
      <c r="L239" s="343"/>
      <c r="M239" s="397">
        <f t="shared" si="27"/>
        <v>4998.0193103965257</v>
      </c>
      <c r="N239" s="361">
        <f t="shared" si="28"/>
        <v>1249.5048275991314</v>
      </c>
      <c r="O239" s="361">
        <f t="shared" si="29"/>
        <v>937.12862069934863</v>
      </c>
      <c r="P239" s="148"/>
      <c r="Q239" s="261">
        <f t="shared" si="30"/>
        <v>11005.077518386814</v>
      </c>
      <c r="R239" s="177"/>
      <c r="S239" s="177"/>
      <c r="T239" s="261"/>
      <c r="U239" s="261"/>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c r="BI239" s="148"/>
      <c r="BJ239" s="148"/>
      <c r="BK239" s="148"/>
    </row>
    <row r="240" spans="1:63" hidden="1" x14ac:dyDescent="0.25">
      <c r="A240" s="19"/>
      <c r="B240" s="114">
        <f t="shared" si="31"/>
        <v>10830.966435779155</v>
      </c>
      <c r="C240" s="114" t="e">
        <f>((($D240*(1-$D$122))-($E$124*$G$122)-(($M$121/$C$148)*$C$124)-($D240*$E$122)-#REF!)*$C$122)+((M$121/$C$148)*$C$124)+(#REF!)+($D240*$E$122)-R240</f>
        <v>#REF!</v>
      </c>
      <c r="D240" s="72">
        <f t="shared" si="34"/>
        <v>68000</v>
      </c>
      <c r="E240" s="96">
        <f t="shared" si="32"/>
        <v>12</v>
      </c>
      <c r="F240" s="63">
        <f t="shared" si="33"/>
        <v>2031</v>
      </c>
      <c r="G240" s="98">
        <f t="shared" si="33"/>
        <v>18</v>
      </c>
      <c r="H240" s="19"/>
      <c r="I240" s="252"/>
      <c r="J240" s="343"/>
      <c r="K240" s="343"/>
      <c r="L240" s="343"/>
      <c r="M240" s="397">
        <f t="shared" si="27"/>
        <v>4738.8097189008286</v>
      </c>
      <c r="N240" s="361">
        <f t="shared" si="28"/>
        <v>1184.7024297252071</v>
      </c>
      <c r="O240" s="361">
        <f t="shared" si="29"/>
        <v>888.5268222939053</v>
      </c>
      <c r="P240" s="148"/>
      <c r="Q240" s="261">
        <f t="shared" si="30"/>
        <v>10830.966435779155</v>
      </c>
      <c r="R240" s="177"/>
      <c r="S240" s="177"/>
      <c r="T240" s="261"/>
      <c r="U240" s="261"/>
      <c r="V240" s="148"/>
      <c r="W240" s="148"/>
      <c r="X240" s="148"/>
      <c r="Y240" s="148"/>
      <c r="Z240" s="148"/>
      <c r="AA240" s="148"/>
      <c r="AB240" s="148"/>
      <c r="AC240" s="148"/>
      <c r="AD240" s="148"/>
      <c r="AE240" s="148"/>
      <c r="AF240" s="148"/>
      <c r="AG240" s="148"/>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c r="BI240" s="148"/>
      <c r="BJ240" s="148"/>
      <c r="BK240" s="148"/>
    </row>
    <row r="241" spans="1:63" hidden="1" x14ac:dyDescent="0.25">
      <c r="A241" s="19"/>
      <c r="B241" s="114">
        <f t="shared" si="31"/>
        <v>10648.856720498872</v>
      </c>
      <c r="C241" s="114" t="e">
        <f>((($D241*(1-$D$122))-($E$124*$G$122)-(($M$121/$C$148)*$C$124)-($D241*$E$122)-#REF!)*$C$122)+((M$121/$C$148)*$C$124)+(#REF!)+($D241*$E$122)-R241</f>
        <v>#REF!</v>
      </c>
      <c r="D241" s="72">
        <f t="shared" si="34"/>
        <v>68000</v>
      </c>
      <c r="E241" s="96">
        <f t="shared" si="32"/>
        <v>12</v>
      </c>
      <c r="F241" s="63">
        <f t="shared" ref="F241:G253" si="35">F240+1</f>
        <v>2032</v>
      </c>
      <c r="G241" s="98">
        <f t="shared" si="35"/>
        <v>19</v>
      </c>
      <c r="H241" s="19"/>
      <c r="I241" s="252"/>
      <c r="J241" s="343"/>
      <c r="K241" s="343"/>
      <c r="L241" s="343"/>
      <c r="M241" s="397">
        <f t="shared" si="27"/>
        <v>4467.6920841229767</v>
      </c>
      <c r="N241" s="361">
        <f t="shared" si="28"/>
        <v>1116.9230210307442</v>
      </c>
      <c r="O241" s="361">
        <f t="shared" si="29"/>
        <v>837.69226577305812</v>
      </c>
      <c r="P241" s="148"/>
      <c r="Q241" s="261">
        <f t="shared" si="30"/>
        <v>10648.856720498872</v>
      </c>
      <c r="R241" s="177"/>
      <c r="S241" s="177"/>
      <c r="T241" s="261"/>
      <c r="U241" s="261"/>
      <c r="V241" s="148"/>
      <c r="W241" s="148"/>
      <c r="X241" s="148"/>
      <c r="Y241" s="148"/>
      <c r="Z241" s="148"/>
      <c r="AA241" s="148"/>
      <c r="AB241" s="148"/>
      <c r="AC241" s="148"/>
      <c r="AD241" s="148"/>
      <c r="AE241" s="148"/>
      <c r="AF241" s="148"/>
      <c r="AG241" s="148"/>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c r="BI241" s="148"/>
      <c r="BJ241" s="148"/>
      <c r="BK241" s="148"/>
    </row>
    <row r="242" spans="1:63" hidden="1" x14ac:dyDescent="0.25">
      <c r="A242" s="19"/>
      <c r="B242" s="114">
        <f t="shared" si="31"/>
        <v>10458.380916760421</v>
      </c>
      <c r="C242" s="114" t="e">
        <f>((($D242*(1-$D$122))-($E$124*$G$122)-(($M$121/$C$148)*$C$124)-($D242*$E$122)-#REF!)*$C$122)+((M$121/$C$148)*$C$124)+(#REF!)+($D242*$E$122)-R242</f>
        <v>#REF!</v>
      </c>
      <c r="D242" s="72">
        <f t="shared" si="34"/>
        <v>68000</v>
      </c>
      <c r="E242" s="96">
        <f t="shared" si="32"/>
        <v>12</v>
      </c>
      <c r="F242" s="63">
        <f t="shared" si="35"/>
        <v>2033</v>
      </c>
      <c r="G242" s="98">
        <f t="shared" si="35"/>
        <v>20</v>
      </c>
      <c r="H242" s="19"/>
      <c r="I242" s="252"/>
      <c r="J242" s="343"/>
      <c r="K242" s="343"/>
      <c r="L242" s="343"/>
      <c r="M242" s="397">
        <f t="shared" si="27"/>
        <v>4184.119352638013</v>
      </c>
      <c r="N242" s="361">
        <f t="shared" si="28"/>
        <v>1046.0298381595032</v>
      </c>
      <c r="O242" s="361">
        <f t="shared" si="29"/>
        <v>784.52237861962749</v>
      </c>
      <c r="P242" s="148"/>
      <c r="Q242" s="261">
        <f t="shared" si="30"/>
        <v>10458.380916760421</v>
      </c>
      <c r="R242" s="177"/>
      <c r="S242" s="177"/>
      <c r="T242" s="261"/>
      <c r="U242" s="261"/>
      <c r="V242" s="148"/>
      <c r="W242" s="148"/>
      <c r="X242" s="148"/>
      <c r="Y242" s="148"/>
      <c r="Z242" s="148"/>
      <c r="AA242" s="148"/>
      <c r="AB242" s="148"/>
      <c r="AC242" s="148"/>
      <c r="AD242" s="148"/>
      <c r="AE242" s="148"/>
      <c r="AF242" s="148"/>
      <c r="AG242" s="148"/>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c r="BI242" s="148"/>
      <c r="BJ242" s="148"/>
      <c r="BK242" s="148"/>
    </row>
    <row r="243" spans="1:63" hidden="1" x14ac:dyDescent="0.25">
      <c r="A243" s="19"/>
      <c r="B243" s="114">
        <f t="shared" si="31"/>
        <v>10259.154687923761</v>
      </c>
      <c r="C243" s="114" t="e">
        <f>((($D243*(1-$D$122))-($E$124*$G$122)-(($M$121/$C$148)*$C$124)-($D243*$E$122)-#REF!)*$C$122)+((M$121/$C$148)*$C$124)+(#REF!)+($D243*$E$122)-R243</f>
        <v>#REF!</v>
      </c>
      <c r="D243" s="72">
        <f t="shared" si="34"/>
        <v>68000</v>
      </c>
      <c r="E243" s="96">
        <f t="shared" si="32"/>
        <v>12</v>
      </c>
      <c r="F243" s="63">
        <f t="shared" si="35"/>
        <v>2034</v>
      </c>
      <c r="G243" s="98">
        <f t="shared" si="35"/>
        <v>21</v>
      </c>
      <c r="H243" s="19"/>
      <c r="I243" s="252"/>
      <c r="J243" s="343"/>
      <c r="K243" s="343"/>
      <c r="L243" s="343"/>
      <c r="M243" s="397">
        <f t="shared" si="27"/>
        <v>3887.5193394823473</v>
      </c>
      <c r="N243" s="361">
        <f t="shared" si="28"/>
        <v>971.87983487058682</v>
      </c>
      <c r="O243" s="361">
        <f t="shared" si="29"/>
        <v>728.90987615294011</v>
      </c>
      <c r="P243" s="148"/>
      <c r="Q243" s="261">
        <f t="shared" si="30"/>
        <v>10259.154687923761</v>
      </c>
      <c r="R243" s="177"/>
      <c r="S243" s="177"/>
      <c r="T243" s="261"/>
      <c r="U243" s="261"/>
      <c r="V243" s="148"/>
      <c r="W243" s="148"/>
      <c r="X243" s="148"/>
      <c r="Y243" s="148"/>
      <c r="Z243" s="148"/>
      <c r="AA243" s="148"/>
      <c r="AB243" s="148"/>
      <c r="AC243" s="148"/>
      <c r="AD243" s="148"/>
      <c r="AE243" s="148"/>
      <c r="AF243" s="148"/>
      <c r="AG243" s="148"/>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c r="BI243" s="148"/>
      <c r="BJ243" s="148"/>
      <c r="BK243" s="148"/>
    </row>
    <row r="244" spans="1:63" hidden="1" x14ac:dyDescent="0.25">
      <c r="A244" s="19"/>
      <c r="B244" s="114">
        <f t="shared" si="31"/>
        <v>10050.776040990848</v>
      </c>
      <c r="C244" s="114" t="e">
        <f>((($D244*(1-$D$122))-($E$124*$G$122)-(($M$121/$C$148)*$C$124)-($D244*$E$122)-#REF!)*$C$122)+((M$121/$C$148)*$C$124)+(#REF!)+($D244*$E$122)-R244</f>
        <v>#REF!</v>
      </c>
      <c r="D244" s="72">
        <f t="shared" si="34"/>
        <v>68000</v>
      </c>
      <c r="E244" s="96">
        <f t="shared" si="32"/>
        <v>12</v>
      </c>
      <c r="F244" s="63">
        <f t="shared" si="35"/>
        <v>2035</v>
      </c>
      <c r="G244" s="98">
        <f t="shared" si="35"/>
        <v>22</v>
      </c>
      <c r="H244" s="19"/>
      <c r="I244" s="252"/>
      <c r="J244" s="343"/>
      <c r="K244" s="343"/>
      <c r="L244" s="343"/>
      <c r="M244" s="397">
        <f t="shared" si="27"/>
        <v>3577.2935736152735</v>
      </c>
      <c r="N244" s="361">
        <f t="shared" si="28"/>
        <v>894.32339340381839</v>
      </c>
      <c r="O244" s="361">
        <f t="shared" si="29"/>
        <v>670.74254505286376</v>
      </c>
      <c r="P244" s="148"/>
      <c r="Q244" s="261">
        <f t="shared" si="30"/>
        <v>10050.776040990848</v>
      </c>
      <c r="R244" s="177"/>
      <c r="S244" s="177"/>
      <c r="T244" s="261"/>
      <c r="U244" s="261"/>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c r="BI244" s="148"/>
      <c r="BJ244" s="148"/>
      <c r="BK244" s="148"/>
    </row>
    <row r="245" spans="1:63" hidden="1" x14ac:dyDescent="0.25">
      <c r="A245" s="19"/>
      <c r="B245" s="114">
        <f t="shared" si="31"/>
        <v>9832.8245154756387</v>
      </c>
      <c r="C245" s="114" t="e">
        <f>((($D245*(1-$D$122))-($E$124*$G$122)-(($M$121/$C$148)*$C$124)-($D245*$E$122)-#REF!)*$C$122)+((M$121/$C$148)*$C$124)+(#REF!)+($D245*$E$122)-R245</f>
        <v>#REF!</v>
      </c>
      <c r="D245" s="72">
        <f t="shared" si="34"/>
        <v>68000</v>
      </c>
      <c r="E245" s="96">
        <f t="shared" si="32"/>
        <v>12</v>
      </c>
      <c r="F245" s="63">
        <f t="shared" si="35"/>
        <v>2036</v>
      </c>
      <c r="G245" s="98">
        <f t="shared" si="35"/>
        <v>23</v>
      </c>
      <c r="H245" s="19"/>
      <c r="I245" s="252"/>
      <c r="J245" s="343"/>
      <c r="K245" s="343"/>
      <c r="L245" s="343"/>
      <c r="M245" s="397">
        <f t="shared" si="27"/>
        <v>3252.8160903411813</v>
      </c>
      <c r="N245" s="361">
        <f t="shared" si="28"/>
        <v>813.20402258529532</v>
      </c>
      <c r="O245" s="361">
        <f t="shared" si="29"/>
        <v>609.90301693897152</v>
      </c>
      <c r="P245" s="148"/>
      <c r="Q245" s="261">
        <f t="shared" si="30"/>
        <v>9832.8245154756387</v>
      </c>
      <c r="R245" s="177"/>
      <c r="S245" s="177"/>
      <c r="T245" s="261"/>
      <c r="U245" s="261"/>
      <c r="V245" s="148"/>
      <c r="W245" s="148"/>
      <c r="X245" s="148"/>
      <c r="Y245" s="148"/>
      <c r="Z245" s="148"/>
      <c r="AA245" s="148"/>
      <c r="AB245" s="148"/>
      <c r="AC245" s="148"/>
      <c r="AD245" s="148"/>
      <c r="AE245" s="148"/>
      <c r="AF245" s="148"/>
      <c r="AG245" s="148"/>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c r="BI245" s="148"/>
      <c r="BJ245" s="148"/>
      <c r="BK245" s="148"/>
    </row>
    <row r="246" spans="1:63" hidden="1" x14ac:dyDescent="0.25">
      <c r="A246" s="19"/>
      <c r="B246" s="114">
        <f t="shared" si="31"/>
        <v>9604.8603350109352</v>
      </c>
      <c r="C246" s="114" t="e">
        <f>((($D246*(1-$D$122))-($E$124*$G$122)-(($M$121/$C$148)*$C$124)-($D246*$E$122)-#REF!)*$C$122)+((M$121/$C$148)*$C$124)+(#REF!)+($D246*$E$122)-R246</f>
        <v>#REF!</v>
      </c>
      <c r="D246" s="72">
        <f t="shared" si="34"/>
        <v>68000</v>
      </c>
      <c r="E246" s="96">
        <f t="shared" si="32"/>
        <v>12</v>
      </c>
      <c r="F246" s="63">
        <f t="shared" si="35"/>
        <v>2037</v>
      </c>
      <c r="G246" s="98">
        <f t="shared" si="35"/>
        <v>24</v>
      </c>
      <c r="H246" s="19"/>
      <c r="I246" s="252"/>
      <c r="J246" s="343"/>
      <c r="K246" s="343"/>
      <c r="L246" s="343"/>
      <c r="M246" s="397">
        <f t="shared" si="27"/>
        <v>2913.4321682558675</v>
      </c>
      <c r="N246" s="361">
        <f t="shared" si="28"/>
        <v>728.35804206396688</v>
      </c>
      <c r="O246" s="361">
        <f t="shared" si="29"/>
        <v>546.26853154797516</v>
      </c>
      <c r="P246" s="148"/>
      <c r="Q246" s="261">
        <f t="shared" si="30"/>
        <v>9604.8603350109352</v>
      </c>
      <c r="R246" s="177"/>
      <c r="S246" s="177"/>
      <c r="T246" s="261"/>
      <c r="U246" s="261"/>
      <c r="V246" s="148"/>
      <c r="W246" s="148"/>
      <c r="X246" s="148"/>
      <c r="Y246" s="148"/>
      <c r="Z246" s="148"/>
      <c r="AA246" s="148"/>
      <c r="AB246" s="148"/>
      <c r="AC246" s="148"/>
      <c r="AD246" s="148"/>
      <c r="AE246" s="148"/>
      <c r="AF246" s="148"/>
      <c r="AG246" s="148"/>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c r="BI246" s="148"/>
      <c r="BJ246" s="148"/>
      <c r="BK246" s="148"/>
    </row>
    <row r="247" spans="1:63" hidden="1" x14ac:dyDescent="0.25">
      <c r="A247" s="19"/>
      <c r="B247" s="114">
        <f t="shared" si="31"/>
        <v>9366.4235199801606</v>
      </c>
      <c r="C247" s="114" t="e">
        <f>((($D247*(1-$D$122))-($E$124*$G$122)-(($M$121/$C$148)*$C$124)-($D247*$E$122)-#REF!)*$C$122)+((M$121/$C$148)*$C$124)+(#REF!)+($D247*$E$122)-R247</f>
        <v>#REF!</v>
      </c>
      <c r="D247" s="72">
        <f t="shared" si="34"/>
        <v>68000</v>
      </c>
      <c r="E247" s="96">
        <f t="shared" si="32"/>
        <v>12</v>
      </c>
      <c r="F247" s="63">
        <f t="shared" si="35"/>
        <v>2038</v>
      </c>
      <c r="G247" s="98">
        <f t="shared" si="35"/>
        <v>25</v>
      </c>
      <c r="H247" s="19"/>
      <c r="I247" s="252"/>
      <c r="J247" s="343"/>
      <c r="K247" s="343"/>
      <c r="L247" s="343"/>
      <c r="M247" s="397">
        <f t="shared" si="27"/>
        <v>2558.4570081683651</v>
      </c>
      <c r="N247" s="361">
        <f t="shared" si="28"/>
        <v>639.61425204209127</v>
      </c>
      <c r="O247" s="361">
        <f t="shared" si="29"/>
        <v>479.71068903156845</v>
      </c>
      <c r="P247" s="148"/>
      <c r="Q247" s="261">
        <f t="shared" si="30"/>
        <v>9366.4235199801606</v>
      </c>
      <c r="R247" s="177"/>
      <c r="S247" s="177"/>
      <c r="T247" s="261"/>
      <c r="U247" s="261"/>
      <c r="V247" s="148"/>
      <c r="W247" s="148"/>
      <c r="X247" s="148"/>
      <c r="Y247" s="148"/>
      <c r="Z247" s="148"/>
      <c r="AA247" s="148"/>
      <c r="AB247" s="148"/>
      <c r="AC247" s="148"/>
      <c r="AD247" s="148"/>
      <c r="AE247" s="148"/>
      <c r="AF247" s="148"/>
      <c r="AG247" s="148"/>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c r="BI247" s="148"/>
      <c r="BJ247" s="148"/>
      <c r="BK247" s="148"/>
    </row>
    <row r="248" spans="1:63" hidden="1" x14ac:dyDescent="0.25">
      <c r="A248" s="19"/>
      <c r="B248" s="114">
        <f t="shared" si="31"/>
        <v>9117.0329593836341</v>
      </c>
      <c r="C248" s="114" t="e">
        <f>((($D248*(1-$D$122))-($E$124*$G$122)-(($M$121/$C$148)*$C$124)-($D248*$E$122)-#REF!)*$C$122)+((M$121/$C$148)*$C$124)+(#REF!)+($D248*$E$122)-R248</f>
        <v>#REF!</v>
      </c>
      <c r="D248" s="72">
        <f t="shared" si="34"/>
        <v>68000</v>
      </c>
      <c r="E248" s="96">
        <f t="shared" si="32"/>
        <v>12</v>
      </c>
      <c r="F248" s="63">
        <f t="shared" si="35"/>
        <v>2039</v>
      </c>
      <c r="G248" s="98">
        <f t="shared" si="35"/>
        <v>26</v>
      </c>
      <c r="H248" s="19"/>
      <c r="I248" s="252"/>
      <c r="J248" s="343"/>
      <c r="K248" s="343"/>
      <c r="L248" s="343"/>
      <c r="M248" s="397">
        <f t="shared" si="27"/>
        <v>2187.1743513326869</v>
      </c>
      <c r="N248" s="361">
        <f t="shared" si="28"/>
        <v>546.79358783317173</v>
      </c>
      <c r="O248" s="361">
        <f t="shared" si="29"/>
        <v>410.09519087487877</v>
      </c>
      <c r="P248" s="148"/>
      <c r="Q248" s="261">
        <f t="shared" si="30"/>
        <v>9117.0329593836341</v>
      </c>
      <c r="R248" s="177"/>
      <c r="S248" s="177"/>
      <c r="T248" s="261"/>
      <c r="U248" s="261"/>
      <c r="V248" s="148"/>
      <c r="W248" s="148"/>
      <c r="X248" s="148"/>
      <c r="Y248" s="148"/>
      <c r="Z248" s="148"/>
      <c r="AA248" s="148"/>
      <c r="AB248" s="148"/>
      <c r="AC248" s="148"/>
      <c r="AD248" s="148"/>
      <c r="AE248" s="148"/>
      <c r="AF248" s="148"/>
      <c r="AG248" s="148"/>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c r="BI248" s="148"/>
      <c r="BJ248" s="148"/>
      <c r="BK248" s="148"/>
    </row>
    <row r="249" spans="1:63" hidden="1" x14ac:dyDescent="0.25">
      <c r="A249" s="19"/>
      <c r="B249" s="114">
        <f t="shared" si="31"/>
        <v>8856.1854400665306</v>
      </c>
      <c r="C249" s="114" t="e">
        <f>((($D249*(1-$D$122))-($E$124*$G$122)-(($M$121/$C$148)*$C$124)-($D249*$E$122)-#REF!)*$C$122)+((M$121/$C$148)*$C$124)+(#REF!)+($D249*$E$122)-R249</f>
        <v>#REF!</v>
      </c>
      <c r="D249" s="72">
        <f t="shared" si="34"/>
        <v>68000</v>
      </c>
      <c r="E249" s="96">
        <f t="shared" si="32"/>
        <v>12</v>
      </c>
      <c r="F249" s="63">
        <f t="shared" si="35"/>
        <v>2040</v>
      </c>
      <c r="G249" s="98">
        <f t="shared" si="35"/>
        <v>27</v>
      </c>
      <c r="H249" s="19"/>
      <c r="I249" s="252"/>
      <c r="J249" s="343"/>
      <c r="K249" s="343"/>
      <c r="L249" s="343"/>
      <c r="M249" s="397">
        <f t="shared" si="27"/>
        <v>1798.8350342013732</v>
      </c>
      <c r="N249" s="361">
        <f t="shared" si="28"/>
        <v>449.7087585503433</v>
      </c>
      <c r="O249" s="361">
        <f t="shared" si="29"/>
        <v>337.28156891275751</v>
      </c>
      <c r="P249" s="148"/>
      <c r="Q249" s="261">
        <f t="shared" si="30"/>
        <v>8856.1854400665306</v>
      </c>
      <c r="R249" s="177"/>
      <c r="S249" s="177"/>
      <c r="T249" s="261"/>
      <c r="U249" s="261"/>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c r="BI249" s="148"/>
      <c r="BJ249" s="148"/>
      <c r="BK249" s="148"/>
    </row>
    <row r="250" spans="1:63" hidden="1" x14ac:dyDescent="0.25">
      <c r="A250" s="19"/>
      <c r="B250" s="114">
        <f t="shared" si="31"/>
        <v>8583.3546313497282</v>
      </c>
      <c r="C250" s="114" t="e">
        <f>((($D250*(1-$D$122))-($E$124*$G$122)-(($M$121/$C$148)*$C$124)-($D250*$E$122)-#REF!)*$C$122)+((M$121/$C$148)*$C$124)+(#REF!)+($D250*$E$122)-R250</f>
        <v>#REF!</v>
      </c>
      <c r="D250" s="72">
        <f t="shared" si="34"/>
        <v>68000</v>
      </c>
      <c r="E250" s="96">
        <f t="shared" si="32"/>
        <v>12</v>
      </c>
      <c r="F250" s="63">
        <f t="shared" si="35"/>
        <v>2041</v>
      </c>
      <c r="G250" s="98">
        <f t="shared" si="35"/>
        <v>28</v>
      </c>
      <c r="H250" s="19"/>
      <c r="I250" s="252"/>
      <c r="J250" s="343"/>
      <c r="K250" s="343"/>
      <c r="L250" s="343"/>
      <c r="M250" s="397">
        <f t="shared" si="27"/>
        <v>1392.6554767846635</v>
      </c>
      <c r="N250" s="361">
        <f t="shared" si="28"/>
        <v>348.16386919616588</v>
      </c>
      <c r="O250" s="361">
        <f t="shared" si="29"/>
        <v>261.12290189712439</v>
      </c>
      <c r="P250" s="148"/>
      <c r="Q250" s="261">
        <f t="shared" si="30"/>
        <v>8583.3546313497282</v>
      </c>
      <c r="R250" s="177"/>
      <c r="S250" s="177"/>
      <c r="T250" s="261"/>
      <c r="U250" s="261"/>
      <c r="V250" s="148"/>
      <c r="W250" s="148"/>
      <c r="X250" s="148"/>
      <c r="Y250" s="148"/>
      <c r="Z250" s="148"/>
      <c r="AA250" s="148"/>
      <c r="AB250" s="148"/>
      <c r="AC250" s="148"/>
      <c r="AD250" s="148"/>
      <c r="AE250" s="148"/>
      <c r="AF250" s="148"/>
      <c r="AG250" s="148"/>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c r="BI250" s="148"/>
      <c r="BJ250" s="148"/>
      <c r="BK250" s="148"/>
    </row>
    <row r="251" spans="1:63" hidden="1" x14ac:dyDescent="0.25">
      <c r="A251" s="19"/>
      <c r="B251" s="114">
        <f t="shared" si="31"/>
        <v>8297.9900230147923</v>
      </c>
      <c r="C251" s="114" t="e">
        <f>((($D251*(1-$D$122))-($E$124*$G$122)-(($M$121/$C$148)*$C$124)-($D251*$E$122)-#REF!)*$C$122)+((M$121/$C$148)*$C$124)+(#REF!)+($D251*$E$122)-R251</f>
        <v>#REF!</v>
      </c>
      <c r="D251" s="72">
        <f t="shared" si="34"/>
        <v>68000</v>
      </c>
      <c r="E251" s="96">
        <f t="shared" si="32"/>
        <v>12</v>
      </c>
      <c r="F251" s="63">
        <f t="shared" si="35"/>
        <v>2042</v>
      </c>
      <c r="G251" s="98">
        <f t="shared" si="35"/>
        <v>29</v>
      </c>
      <c r="H251" s="19"/>
      <c r="I251" s="252"/>
      <c r="J251" s="343"/>
      <c r="K251" s="343"/>
      <c r="L251" s="343"/>
      <c r="M251" s="397">
        <f t="shared" si="27"/>
        <v>967.81610156516672</v>
      </c>
      <c r="N251" s="361">
        <f t="shared" si="28"/>
        <v>241.95402539129168</v>
      </c>
      <c r="O251" s="361">
        <f t="shared" si="29"/>
        <v>181.46551904346876</v>
      </c>
      <c r="P251" s="148"/>
      <c r="Q251" s="261">
        <f t="shared" si="30"/>
        <v>8297.9900230147923</v>
      </c>
      <c r="R251" s="177"/>
      <c r="S251" s="177"/>
      <c r="T251" s="261"/>
      <c r="U251" s="261"/>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c r="BI251" s="148"/>
      <c r="BJ251" s="148"/>
      <c r="BK251" s="148"/>
    </row>
    <row r="252" spans="1:63" hidden="1" x14ac:dyDescent="0.25">
      <c r="A252" s="19"/>
      <c r="B252" s="114">
        <f t="shared" si="31"/>
        <v>7999.5158145001697</v>
      </c>
      <c r="C252" s="114" t="e">
        <f>((($D252*(1-$D$122))-($E$124*$G$122)-(($M$121/$C$148)*$C$124)-($D252*$E$122)-#REF!)*$C$122)+((M$121/$C$148)*$C$124)+(#REF!)+($D252*$E$122)-R252</f>
        <v>#REF!</v>
      </c>
      <c r="D252" s="72">
        <f t="shared" si="34"/>
        <v>68000</v>
      </c>
      <c r="E252" s="96">
        <f t="shared" si="32"/>
        <v>12</v>
      </c>
      <c r="F252" s="63">
        <f t="shared" si="35"/>
        <v>2043</v>
      </c>
      <c r="G252" s="98">
        <f t="shared" si="35"/>
        <v>30</v>
      </c>
      <c r="H252" s="19"/>
      <c r="I252" s="252"/>
      <c r="J252" s="343"/>
      <c r="K252" s="343"/>
      <c r="L252" s="343"/>
      <c r="M252" s="397">
        <f t="shared" si="27"/>
        <v>523.45967977772966</v>
      </c>
      <c r="N252" s="361">
        <f t="shared" si="28"/>
        <v>130.86491994443242</v>
      </c>
      <c r="O252" s="361">
        <f t="shared" si="29"/>
        <v>98.148689958324312</v>
      </c>
      <c r="P252" s="148"/>
      <c r="Q252" s="261">
        <f t="shared" si="30"/>
        <v>7999.5158145001697</v>
      </c>
      <c r="R252" s="177"/>
      <c r="S252" s="177"/>
      <c r="T252" s="261"/>
      <c r="U252" s="261"/>
      <c r="V252" s="148"/>
      <c r="W252" s="148"/>
      <c r="X252" s="148"/>
      <c r="Y252" s="148"/>
      <c r="Z252" s="148"/>
      <c r="AA252" s="148"/>
      <c r="AB252" s="148"/>
      <c r="AC252" s="148"/>
      <c r="AD252" s="148"/>
      <c r="AE252" s="148"/>
      <c r="AF252" s="148"/>
      <c r="AG252" s="148"/>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c r="BI252" s="148"/>
      <c r="BJ252" s="148"/>
      <c r="BK252" s="148"/>
    </row>
    <row r="253" spans="1:63" hidden="1" x14ac:dyDescent="0.25">
      <c r="A253" s="19"/>
      <c r="B253" s="114">
        <f t="shared" si="31"/>
        <v>7709.7485126987003</v>
      </c>
      <c r="C253" s="114" t="e">
        <f>((($D253*(1-$D$122))-($E$124*$G$122)-(($M$121/$C$148)*$C$124)-($D253*$E$122)-#REF!)*$C$122)+((M$121/$C$148)*$C$124)+(#REF!)+($D253*$E$122)-R253</f>
        <v>#REF!</v>
      </c>
      <c r="D253" s="72">
        <f t="shared" si="34"/>
        <v>68000</v>
      </c>
      <c r="E253" s="96">
        <f t="shared" si="32"/>
        <v>7</v>
      </c>
      <c r="F253" s="63">
        <f t="shared" si="35"/>
        <v>2044</v>
      </c>
      <c r="G253" s="95"/>
      <c r="H253" s="19"/>
      <c r="I253" s="398">
        <f>IF(F40="YES","N/A",E255-G48)</f>
        <v>0</v>
      </c>
      <c r="J253" s="343"/>
      <c r="K253" s="343"/>
      <c r="L253" s="343"/>
      <c r="M253" s="397">
        <f t="shared" si="27"/>
        <v>92.065751236015757</v>
      </c>
      <c r="N253" s="361">
        <f t="shared" si="28"/>
        <v>23.016437809003939</v>
      </c>
      <c r="O253" s="361">
        <f t="shared" si="29"/>
        <v>17.262328356752953</v>
      </c>
      <c r="P253" s="148"/>
      <c r="Q253" s="261">
        <f t="shared" si="30"/>
        <v>7709.7485126987003</v>
      </c>
      <c r="R253" s="177"/>
      <c r="S253" s="177"/>
      <c r="T253" s="261"/>
      <c r="U253" s="261"/>
      <c r="V253" s="148"/>
      <c r="W253" s="148"/>
      <c r="X253" s="148"/>
      <c r="Y253" s="148"/>
      <c r="Z253" s="148"/>
      <c r="AA253" s="148"/>
      <c r="AB253" s="148"/>
      <c r="AC253" s="148"/>
      <c r="AD253" s="148"/>
      <c r="AE253" s="148"/>
      <c r="AF253" s="148"/>
      <c r="AG253" s="148"/>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c r="BI253" s="148"/>
      <c r="BJ253" s="148"/>
      <c r="BK253" s="148"/>
    </row>
    <row r="254" spans="1:63" hidden="1" x14ac:dyDescent="0.25">
      <c r="A254" s="19"/>
      <c r="D254" s="12"/>
      <c r="E254" s="12"/>
      <c r="F254" s="12"/>
      <c r="G254" s="95"/>
      <c r="H254" s="19"/>
      <c r="I254" s="387"/>
      <c r="J254" s="343"/>
      <c r="K254" s="343"/>
      <c r="L254" s="343"/>
      <c r="M254" s="177"/>
      <c r="N254" s="177"/>
      <c r="O254" s="177"/>
      <c r="P254" s="148"/>
      <c r="Q254" s="177"/>
      <c r="R254" s="177"/>
      <c r="S254" s="177"/>
      <c r="T254" s="148"/>
      <c r="U254" s="148"/>
      <c r="V254" s="148"/>
      <c r="W254" s="148"/>
      <c r="X254" s="148"/>
      <c r="Y254" s="148"/>
      <c r="Z254" s="148"/>
      <c r="AA254" s="148"/>
      <c r="AB254" s="148"/>
      <c r="AC254" s="148"/>
      <c r="AD254" s="148"/>
      <c r="AE254" s="148"/>
      <c r="AF254" s="148"/>
      <c r="AG254" s="148"/>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c r="BI254" s="148"/>
      <c r="BJ254" s="148"/>
      <c r="BK254" s="148"/>
    </row>
    <row r="255" spans="1:63" hidden="1" x14ac:dyDescent="0.25">
      <c r="A255" s="19"/>
      <c r="D255" s="12"/>
      <c r="E255" s="96">
        <f>SUM(E223:E254)</f>
        <v>360</v>
      </c>
      <c r="F255" s="12"/>
      <c r="G255" s="95" t="s">
        <v>146</v>
      </c>
      <c r="H255" s="19"/>
      <c r="I255" s="387">
        <f>M255--CUMIPMT($M$31/12,$G$48,$M$25,1,$G$48,0)</f>
        <v>0</v>
      </c>
      <c r="J255" s="343"/>
      <c r="K255" s="343"/>
      <c r="L255" s="343"/>
      <c r="M255" s="399">
        <f>SUM(M223:M254)</f>
        <v>144211.74519030485</v>
      </c>
      <c r="N255" s="361">
        <f>SUM(N223:N254)</f>
        <v>36052.936297576212</v>
      </c>
      <c r="O255" s="361">
        <f>SUM(O223:O254)</f>
        <v>27039.702223182161</v>
      </c>
      <c r="P255" s="148"/>
      <c r="Q255" s="177"/>
      <c r="R255" s="177"/>
      <c r="S255" s="177"/>
      <c r="T255" s="148"/>
      <c r="U255" s="148"/>
      <c r="V255" s="148"/>
      <c r="W255" s="148"/>
      <c r="X255" s="148"/>
      <c r="Y255" s="148"/>
      <c r="Z255" s="148"/>
      <c r="AA255" s="148"/>
      <c r="AB255" s="148"/>
      <c r="AC255" s="148"/>
      <c r="AD255" s="148"/>
      <c r="AE255" s="148"/>
      <c r="AF255" s="148"/>
      <c r="AG255" s="148"/>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c r="BI255" s="148"/>
      <c r="BJ255" s="148"/>
      <c r="BK255" s="148"/>
    </row>
    <row r="256" spans="1:63" hidden="1" x14ac:dyDescent="0.25">
      <c r="A256" s="19"/>
      <c r="D256" s="12"/>
      <c r="E256" s="12"/>
      <c r="F256" s="12"/>
      <c r="G256" s="95"/>
      <c r="H256" s="19"/>
      <c r="I256" s="358">
        <f>(M255-M633)+(Q255-Q633)</f>
        <v>-2.9103830456733704E-11</v>
      </c>
      <c r="J256" s="343" t="s">
        <v>147</v>
      </c>
      <c r="K256" s="343"/>
      <c r="L256" s="343"/>
      <c r="M256" s="400">
        <f>M255</f>
        <v>144211.74519030485</v>
      </c>
      <c r="N256" s="361">
        <f>M256-N255</f>
        <v>108158.80889272864</v>
      </c>
      <c r="O256" s="401">
        <f>M256-O255</f>
        <v>117172.04296712269</v>
      </c>
      <c r="P256" s="148"/>
      <c r="Q256" s="177"/>
      <c r="R256" s="177"/>
      <c r="S256" s="177"/>
      <c r="T256" s="148"/>
      <c r="U256" s="148"/>
      <c r="V256" s="148"/>
      <c r="W256" s="148"/>
      <c r="X256" s="148"/>
      <c r="Y256" s="148"/>
      <c r="Z256" s="148"/>
      <c r="AA256" s="148"/>
      <c r="AB256" s="148"/>
      <c r="AC256" s="148"/>
      <c r="AD256" s="148"/>
      <c r="AE256" s="148"/>
      <c r="AF256" s="148"/>
      <c r="AG256" s="148"/>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c r="BI256" s="148"/>
      <c r="BJ256" s="148"/>
      <c r="BK256" s="148"/>
    </row>
    <row r="257" spans="1:63" hidden="1" x14ac:dyDescent="0.25">
      <c r="A257" s="19"/>
      <c r="D257" s="12"/>
      <c r="E257" s="12"/>
      <c r="F257" s="12"/>
      <c r="G257" s="95"/>
      <c r="H257" s="19"/>
      <c r="I257" s="358">
        <f>(O633-M25)</f>
        <v>-5.8207660913467407E-11</v>
      </c>
      <c r="J257" s="343"/>
      <c r="K257" s="343"/>
      <c r="L257" s="343"/>
      <c r="M257" s="177"/>
      <c r="N257" s="177"/>
      <c r="O257" s="177"/>
      <c r="P257" s="148"/>
      <c r="Q257" s="177"/>
      <c r="R257" s="177"/>
      <c r="S257" s="177"/>
      <c r="T257" s="148"/>
      <c r="U257" s="148"/>
      <c r="V257" s="148"/>
      <c r="W257" s="148"/>
      <c r="X257" s="148"/>
      <c r="Y257" s="148"/>
      <c r="Z257" s="148"/>
      <c r="AA257" s="148"/>
      <c r="AB257" s="148"/>
      <c r="AC257" s="148"/>
      <c r="AD257" s="148"/>
      <c r="AE257" s="148"/>
      <c r="AF257" s="148"/>
      <c r="AG257" s="148"/>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c r="BI257" s="148"/>
      <c r="BJ257" s="148"/>
      <c r="BK257" s="148"/>
    </row>
    <row r="258" spans="1:63" hidden="1" x14ac:dyDescent="0.25">
      <c r="A258" s="19"/>
      <c r="D258" s="12"/>
      <c r="E258" s="12"/>
      <c r="F258" s="12"/>
      <c r="G258" s="135">
        <f>G127</f>
        <v>1</v>
      </c>
      <c r="H258" s="19"/>
      <c r="I258" s="387">
        <f>SUM(M258:T258)</f>
        <v>-3.4106051316484809E-13</v>
      </c>
      <c r="J258" s="388" t="s">
        <v>135</v>
      </c>
      <c r="K258" s="388"/>
      <c r="L258" s="388"/>
      <c r="M258" s="288">
        <f>M127-SUMIF($G$221:$G$254,$G258,M$221:M$254)</f>
        <v>0</v>
      </c>
      <c r="N258" s="288"/>
      <c r="O258" s="288">
        <f>IF(AND(M210=O210,M196=M190,M196=O196),M141-SUMIF($G$221:$G$254,$G258,O$221:O$254)-IF($G258=1,$G$26,0),"          N/A")</f>
        <v>-3.4106051316484809E-13</v>
      </c>
      <c r="P258" s="148"/>
      <c r="Q258" s="177"/>
      <c r="R258" s="177"/>
      <c r="S258" s="177"/>
      <c r="T258" s="148"/>
      <c r="U258" s="148"/>
      <c r="V258" s="148"/>
      <c r="W258" s="148"/>
      <c r="X258" s="148"/>
      <c r="Y258" s="148"/>
      <c r="Z258" s="148"/>
      <c r="AA258" s="148"/>
      <c r="AB258" s="148"/>
      <c r="AC258" s="148"/>
      <c r="AD258" s="148"/>
      <c r="AE258" s="148"/>
      <c r="AF258" s="148"/>
      <c r="AG258" s="148"/>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c r="BI258" s="148"/>
      <c r="BJ258" s="148"/>
      <c r="BK258" s="148"/>
    </row>
    <row r="259" spans="1:63" hidden="1" x14ac:dyDescent="0.25">
      <c r="A259" s="19"/>
      <c r="D259" s="12"/>
      <c r="E259" s="12"/>
      <c r="F259" s="12"/>
      <c r="G259" s="135">
        <f>G144</f>
        <v>3</v>
      </c>
      <c r="H259" s="19"/>
      <c r="I259" s="387">
        <f>SUM(M259:T259)</f>
        <v>-2.2737367544323206E-12</v>
      </c>
      <c r="J259" s="388" t="s">
        <v>135</v>
      </c>
      <c r="K259" s="388"/>
      <c r="L259" s="388"/>
      <c r="M259" s="288">
        <f>M144-SUMIF($G$221:$G$254,$G259,M$221:M$254)</f>
        <v>0</v>
      </c>
      <c r="N259" s="288"/>
      <c r="O259" s="288">
        <f>IF(AND(M154=O154,M196=M190,M196=O196,NOT(M188=$G$219)),M158-SUMIF($G$221:$G$254,$G259,O$221:O$254),"          N/A")</f>
        <v>-2.2737367544323206E-12</v>
      </c>
      <c r="P259" s="148"/>
      <c r="Q259" s="177"/>
      <c r="R259" s="177"/>
      <c r="S259" s="177"/>
      <c r="T259" s="148"/>
      <c r="U259" s="148"/>
      <c r="V259" s="148"/>
      <c r="W259" s="148"/>
      <c r="X259" s="148"/>
      <c r="Y259" s="148"/>
      <c r="Z259" s="148"/>
      <c r="AA259" s="148"/>
      <c r="AB259" s="148"/>
      <c r="AC259" s="148"/>
      <c r="AD259" s="148"/>
      <c r="AE259" s="148"/>
      <c r="AF259" s="148"/>
      <c r="AG259" s="148"/>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c r="BI259" s="148"/>
      <c r="BJ259" s="148"/>
      <c r="BK259" s="148"/>
    </row>
    <row r="260" spans="1:63" hidden="1" x14ac:dyDescent="0.25">
      <c r="A260" s="19"/>
      <c r="D260" s="12"/>
      <c r="E260" s="12"/>
      <c r="F260" s="12"/>
      <c r="G260" s="135">
        <f>G161</f>
        <v>5</v>
      </c>
      <c r="H260" s="19"/>
      <c r="I260" s="387">
        <f>SUM(M260:T260)</f>
        <v>4.5474735088646412E-13</v>
      </c>
      <c r="J260" s="388" t="s">
        <v>135</v>
      </c>
      <c r="K260" s="388"/>
      <c r="L260" s="388"/>
      <c r="M260" s="288">
        <f>M161-SUMIF($G$221:$G$254,$G260,M$221:M$254)</f>
        <v>0</v>
      </c>
      <c r="N260" s="288"/>
      <c r="O260" s="288">
        <f>IF(AND(M171=O171,M196=M190,M196=O196),M175-SUMIF($G$221:$G$254,$G260,O$221:O$254),"          N/A")</f>
        <v>4.5474735088646412E-13</v>
      </c>
      <c r="P260" s="148"/>
      <c r="Q260" s="177"/>
      <c r="R260" s="177"/>
      <c r="S260" s="177"/>
      <c r="T260" s="148"/>
      <c r="U260" s="148"/>
      <c r="V260" s="148"/>
      <c r="W260" s="148"/>
      <c r="X260" s="148"/>
      <c r="Y260" s="148"/>
      <c r="Z260" s="148"/>
      <c r="AA260" s="148"/>
      <c r="AB260" s="148"/>
      <c r="AC260" s="148"/>
      <c r="AD260" s="148"/>
      <c r="AE260" s="148"/>
      <c r="AF260" s="148"/>
      <c r="AG260" s="148"/>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c r="BI260" s="148"/>
      <c r="BJ260" s="148"/>
      <c r="BK260" s="148"/>
    </row>
    <row r="261" spans="1:63" hidden="1" x14ac:dyDescent="0.25">
      <c r="A261" s="19"/>
      <c r="D261" s="12"/>
      <c r="E261" s="12"/>
      <c r="F261" s="12"/>
      <c r="G261" s="135">
        <f>G180</f>
        <v>1</v>
      </c>
      <c r="H261" s="19"/>
      <c r="I261" s="387">
        <f>SUM(M261:T261)</f>
        <v>0</v>
      </c>
      <c r="J261" s="388" t="s">
        <v>135</v>
      </c>
      <c r="K261" s="388"/>
      <c r="L261" s="388"/>
      <c r="M261" s="288">
        <f>M180-SUMIF($G$221:$G$254,$G261,M$221:M$254)</f>
        <v>0</v>
      </c>
      <c r="N261" s="288">
        <f>M40-SUMIF($G$221:$G$254,$G261,N$221:N$254)</f>
        <v>0</v>
      </c>
      <c r="O261" s="288">
        <f>IF(M210=O210,Q40-SUMIF($G$221:$G$254,$G261,O$221:O$254),"        N/A")</f>
        <v>0</v>
      </c>
      <c r="P261" s="148"/>
      <c r="Q261" s="177"/>
      <c r="R261" s="177"/>
      <c r="S261" s="177"/>
      <c r="T261" s="148"/>
      <c r="U261" s="148"/>
      <c r="V261" s="148"/>
      <c r="W261" s="148"/>
      <c r="X261" s="148"/>
      <c r="Y261" s="148"/>
      <c r="Z261" s="148"/>
      <c r="AA261" s="148"/>
      <c r="AB261" s="148"/>
      <c r="AC261" s="148"/>
      <c r="AD261" s="148"/>
      <c r="AE261" s="148"/>
      <c r="AF261" s="148"/>
      <c r="AG261" s="148"/>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row>
    <row r="262" spans="1:63" hidden="1" x14ac:dyDescent="0.25">
      <c r="A262" s="19"/>
      <c r="D262" s="12"/>
      <c r="E262" s="12"/>
      <c r="F262" s="136" t="str">
        <f>$F$40</f>
        <v>NO</v>
      </c>
      <c r="G262" s="136">
        <f>IF(F262="YES","",YEAR(E40))</f>
        <v>2014</v>
      </c>
      <c r="H262" s="19"/>
      <c r="I262" s="387">
        <f>SUM(M262:T262)</f>
        <v>0</v>
      </c>
      <c r="J262" s="388" t="s">
        <v>135</v>
      </c>
      <c r="K262" s="388"/>
      <c r="L262" s="388"/>
      <c r="M262" s="288">
        <f>IF($G262="","",M127-SUMIF($F$271:$F$632,$G262,M$271:M$632))</f>
        <v>0</v>
      </c>
      <c r="N262" s="288"/>
      <c r="O262" s="288">
        <f>IF($G262="","",O127-SUMIF($F$271:$F$632,$G262,M$271:M$632))</f>
        <v>0</v>
      </c>
      <c r="P262" s="148"/>
      <c r="Q262" s="177"/>
      <c r="R262" s="177"/>
      <c r="S262" s="177"/>
      <c r="T262" s="148"/>
      <c r="U262" s="148"/>
      <c r="V262" s="148"/>
      <c r="W262" s="148"/>
      <c r="X262" s="148"/>
      <c r="Y262" s="148"/>
      <c r="Z262" s="148"/>
      <c r="AA262" s="148"/>
      <c r="AB262" s="148"/>
      <c r="AC262" s="148"/>
      <c r="AD262" s="148"/>
      <c r="AE262" s="148"/>
      <c r="AF262" s="148"/>
      <c r="AG262" s="148"/>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row>
    <row r="263" spans="1:63" hidden="1" x14ac:dyDescent="0.25">
      <c r="A263" s="19"/>
      <c r="D263" s="12"/>
      <c r="E263" s="12"/>
      <c r="F263" s="12"/>
      <c r="G263" s="135"/>
      <c r="H263" s="19"/>
      <c r="I263" s="387">
        <f>IF(F74=D72,N264-Q109,N264-O109)</f>
        <v>0</v>
      </c>
      <c r="J263" s="402"/>
      <c r="K263" s="402"/>
      <c r="L263" s="402"/>
      <c r="M263" s="177"/>
      <c r="N263" s="177"/>
      <c r="O263" s="177"/>
      <c r="P263" s="148"/>
      <c r="Q263" s="177"/>
      <c r="R263" s="177"/>
      <c r="S263" s="177"/>
      <c r="T263" s="148"/>
      <c r="U263" s="148"/>
      <c r="V263" s="148"/>
      <c r="W263" s="148"/>
      <c r="X263" s="148"/>
      <c r="Y263" s="148"/>
      <c r="Z263" s="148"/>
      <c r="AA263" s="148"/>
      <c r="AB263" s="148"/>
      <c r="AC263" s="148"/>
      <c r="AD263" s="148"/>
      <c r="AE263" s="148"/>
      <c r="AF263" s="148"/>
      <c r="AG263" s="148"/>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c r="BI263" s="148"/>
      <c r="BJ263" s="148"/>
      <c r="BK263" s="148"/>
    </row>
    <row r="264" spans="1:63" hidden="1" x14ac:dyDescent="0.25">
      <c r="A264" s="19"/>
      <c r="D264" s="12"/>
      <c r="E264" s="12"/>
      <c r="F264" s="97">
        <f>F45</f>
        <v>2044</v>
      </c>
      <c r="G264" s="137">
        <f>G45</f>
        <v>30</v>
      </c>
      <c r="H264" s="19"/>
      <c r="I264" s="237" t="s">
        <v>148</v>
      </c>
      <c r="J264" s="343" t="s">
        <v>148</v>
      </c>
      <c r="K264" s="343"/>
      <c r="L264" s="343"/>
      <c r="M264" s="400">
        <f>IF($F$262="YES",SUMIF($G$221:$G$254,CONCATENATE("&lt;=",$G264),M$221:M$254),SUMIF($F$221:$F$254,CONCATENATE("&lt;=",$F264),M$221:M$254))</f>
        <v>144211.74519030485</v>
      </c>
      <c r="N264" s="400">
        <f>IF($F$262="YES",SUMIF($G$221:$G$254,CONCATENATE("&lt;=",$G264),N$221:N$254),SUMIF($F$221:$F$254,CONCATENATE("&lt;=",$F264),N$221:N$254))</f>
        <v>36052.936297576212</v>
      </c>
      <c r="O264" s="400">
        <f>IF($F$262="YES",SUMIF($G$221:$G$254,CONCATENATE("&lt;=",$G264),O$221:O$254),SUMIF($F$221:$F$254,CONCATENATE("&lt;=",$F264),O$221:O$254))</f>
        <v>27039.702223182161</v>
      </c>
      <c r="P264" s="148"/>
      <c r="Q264" s="177"/>
      <c r="R264" s="177"/>
      <c r="S264" s="177"/>
      <c r="T264" s="148"/>
      <c r="U264" s="148"/>
      <c r="V264" s="148"/>
      <c r="W264" s="148"/>
      <c r="X264" s="148"/>
      <c r="Y264" s="148"/>
      <c r="Z264" s="148"/>
      <c r="AA264" s="148"/>
      <c r="AB264" s="148"/>
      <c r="AC264" s="148"/>
      <c r="AD264" s="148"/>
      <c r="AE264" s="148"/>
      <c r="AF264" s="148"/>
      <c r="AG264" s="148"/>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c r="BI264" s="148"/>
      <c r="BJ264" s="148"/>
      <c r="BK264" s="148"/>
    </row>
    <row r="265" spans="1:63" hidden="1" x14ac:dyDescent="0.25">
      <c r="A265" s="19"/>
      <c r="D265" s="12"/>
      <c r="E265" s="12"/>
      <c r="F265" s="12"/>
      <c r="G265" s="135"/>
      <c r="H265" s="19"/>
      <c r="I265" s="387">
        <f>O264-S109</f>
        <v>0</v>
      </c>
      <c r="J265" s="343" t="s">
        <v>147</v>
      </c>
      <c r="K265" s="343"/>
      <c r="L265" s="343"/>
      <c r="M265" s="400">
        <f>M264</f>
        <v>144211.74519030485</v>
      </c>
      <c r="N265" s="361">
        <f>M265-N264</f>
        <v>108158.80889272864</v>
      </c>
      <c r="O265" s="401">
        <f>M265-O264</f>
        <v>117172.04296712269</v>
      </c>
      <c r="P265" s="148"/>
      <c r="Q265" s="177"/>
      <c r="R265" s="177"/>
      <c r="S265" s="177"/>
      <c r="T265" s="148"/>
      <c r="U265" s="148"/>
      <c r="V265" s="148"/>
      <c r="W265" s="148"/>
      <c r="X265" s="148"/>
      <c r="Y265" s="148"/>
      <c r="Z265" s="148"/>
      <c r="AA265" s="148"/>
      <c r="AB265" s="148"/>
      <c r="AC265" s="148"/>
      <c r="AD265" s="148"/>
      <c r="AE265" s="148"/>
      <c r="AF265" s="148"/>
      <c r="AG265" s="148"/>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c r="BI265" s="148"/>
      <c r="BJ265" s="148"/>
      <c r="BK265" s="148"/>
    </row>
    <row r="266" spans="1:63" hidden="1" x14ac:dyDescent="0.25">
      <c r="A266" s="19"/>
      <c r="D266" s="12"/>
      <c r="E266" s="12"/>
      <c r="F266" s="12"/>
      <c r="H266" s="19"/>
      <c r="I266" s="387">
        <f>(M266-(M270*G267))+(Q266-(Q270*G267))</f>
        <v>-5.8207660913467407E-11</v>
      </c>
      <c r="J266" s="343" t="s">
        <v>149</v>
      </c>
      <c r="K266" s="343"/>
      <c r="L266" s="343"/>
      <c r="M266" s="403">
        <f>M265+M267</f>
        <v>319211.74519030482</v>
      </c>
      <c r="N266" s="261">
        <f>N265+M267</f>
        <v>283158.80889272864</v>
      </c>
      <c r="O266" s="403">
        <f>O265+M267</f>
        <v>292172.04296712263</v>
      </c>
      <c r="P266" s="148"/>
      <c r="Q266" s="177"/>
      <c r="R266" s="177"/>
      <c r="S266" s="177"/>
      <c r="T266" s="148"/>
      <c r="U266" s="148"/>
      <c r="V266" s="148"/>
      <c r="W266" s="148"/>
      <c r="X266" s="148"/>
      <c r="Y266" s="148"/>
      <c r="Z266" s="148"/>
      <c r="AA266" s="148"/>
      <c r="AB266" s="148"/>
      <c r="AC266" s="148"/>
      <c r="AD266" s="148"/>
      <c r="AE266" s="148"/>
      <c r="AF266" s="148"/>
      <c r="AG266" s="148"/>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c r="BI266" s="148"/>
      <c r="BJ266" s="148"/>
      <c r="BK266" s="148"/>
    </row>
    <row r="267" spans="1:63" hidden="1" x14ac:dyDescent="0.25">
      <c r="A267" s="19"/>
      <c r="D267" s="137">
        <f>G264</f>
        <v>30</v>
      </c>
      <c r="E267" s="97">
        <f>E45</f>
        <v>2014</v>
      </c>
      <c r="F267" s="97">
        <f>F45</f>
        <v>2044</v>
      </c>
      <c r="G267" s="96">
        <f>IF(F40="YES",G264*12,COUNTIF(F271:F632,CONCATENATE("&lt;=",F267))-COUNTIF(F271:F632,CONCATENATE("&lt;",E267)))</f>
        <v>360</v>
      </c>
      <c r="H267" s="19"/>
      <c r="I267" s="387">
        <f>IF($F$262="YES",M$267-SUMIF($G$271:$G$632,CONCATENATE("&lt;=",$D$267),O$271:O$632),M$267-SUMIF($F$271:$F$632,CONCATENATE("&lt;=",$F$267),O$271:O$632))+IF($F$262="YES",Q$267-SUMIF($G$271:$G$632,CONCATENATE("&lt;=",$D$267),S$271:S$632),Q$267-SUMIF($F$271:$F$632,CONCATENATE("&lt;=",$F$267),S$271:S$632))</f>
        <v>2.9103830456733704E-11</v>
      </c>
      <c r="J267" s="402"/>
      <c r="K267" s="402"/>
      <c r="L267" s="402"/>
      <c r="M267" s="400">
        <f>-CUMPRINC(M$31/12,$G$48,M$25,1,$G267,0)</f>
        <v>174999.99999999997</v>
      </c>
      <c r="N267" s="177"/>
      <c r="O267" s="177"/>
      <c r="P267" s="148"/>
      <c r="Q267" s="177"/>
      <c r="R267" s="177"/>
      <c r="S267" s="177"/>
      <c r="T267" s="148"/>
      <c r="U267" s="148"/>
      <c r="V267" s="148"/>
      <c r="W267" s="148"/>
      <c r="X267" s="148"/>
      <c r="Y267" s="148"/>
      <c r="Z267" s="148"/>
      <c r="AA267" s="148"/>
      <c r="AB267" s="148"/>
      <c r="AC267" s="148"/>
      <c r="AD267" s="148"/>
      <c r="AE267" s="148"/>
      <c r="AF267" s="148"/>
      <c r="AG267" s="148"/>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c r="BI267" s="148"/>
      <c r="BJ267" s="148"/>
      <c r="BK267" s="148"/>
    </row>
    <row r="268" spans="1:63" hidden="1" x14ac:dyDescent="0.25">
      <c r="A268" s="19"/>
      <c r="D268" s="12"/>
      <c r="E268" s="12"/>
      <c r="F268" s="12"/>
      <c r="G268" s="21"/>
      <c r="H268" s="19"/>
      <c r="I268" s="387">
        <f>IF($F$262="YES",M265-SUMIF($G$271:$G$632,CONCATENATE("&lt;=",$D$267),M$271:M$632),M$267-SUMIF($F$271:$F$632,CONCATENATE("&lt;=",$F$267),O$271:O$632))+IF($F$262="YES",Q265-SUMIF($G$271:$G$632,CONCATENATE("&lt;=",$D$267),Q$271:Q$632),Q$265-SUMIF($F$271:$F$632,CONCATENATE("&lt;=",$F$267),Q$271:Q$632))</f>
        <v>2.9103830456733704E-11</v>
      </c>
      <c r="J268" s="402"/>
      <c r="K268" s="402"/>
      <c r="L268" s="402"/>
      <c r="M268" s="400"/>
      <c r="N268" s="177"/>
      <c r="O268" s="177"/>
      <c r="P268" s="148"/>
      <c r="Q268" s="177"/>
      <c r="R268" s="177"/>
      <c r="S268" s="177"/>
      <c r="T268" s="148"/>
      <c r="U268" s="148"/>
      <c r="V268" s="148"/>
      <c r="W268" s="148"/>
      <c r="X268" s="148"/>
      <c r="Y268" s="148"/>
      <c r="Z268" s="148"/>
      <c r="AA268" s="148"/>
      <c r="AB268" s="148"/>
      <c r="AC268" s="148"/>
      <c r="AD268" s="148"/>
      <c r="AE268" s="148"/>
      <c r="AF268" s="148"/>
      <c r="AG268" s="148"/>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c r="BI268" s="148"/>
      <c r="BJ268" s="148"/>
      <c r="BK268" s="148"/>
    </row>
    <row r="269" spans="1:63" hidden="1" x14ac:dyDescent="0.25">
      <c r="A269" s="19"/>
      <c r="D269" s="12"/>
      <c r="E269" s="12"/>
      <c r="F269" s="12"/>
      <c r="G269" s="12"/>
      <c r="H269" s="19"/>
      <c r="I269" s="252"/>
      <c r="J269" s="177"/>
      <c r="K269" s="177"/>
      <c r="L269" s="177"/>
      <c r="M269" s="404">
        <f>M122</f>
        <v>4.4999999999999998E-2</v>
      </c>
      <c r="N269" s="376"/>
      <c r="O269" s="405">
        <f>M121</f>
        <v>175000</v>
      </c>
      <c r="P269" s="148"/>
      <c r="Q269" s="177"/>
      <c r="R269" s="177"/>
      <c r="S269" s="177"/>
      <c r="T269" s="148"/>
      <c r="U269" s="148"/>
      <c r="V269" s="148"/>
      <c r="W269" s="148"/>
      <c r="X269" s="148"/>
      <c r="Y269" s="148"/>
      <c r="Z269" s="148"/>
      <c r="AA269" s="148"/>
      <c r="AB269" s="148"/>
      <c r="AC269" s="148"/>
      <c r="AD269" s="148"/>
      <c r="AE269" s="148"/>
      <c r="AF269" s="148"/>
      <c r="AG269" s="148"/>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c r="BI269" s="148"/>
      <c r="BJ269" s="148"/>
      <c r="BK269" s="148"/>
    </row>
    <row r="270" spans="1:63" hidden="1" x14ac:dyDescent="0.25">
      <c r="A270" s="19"/>
      <c r="D270" s="12"/>
      <c r="E270" s="12"/>
      <c r="F270" s="12"/>
      <c r="G270" s="12"/>
      <c r="H270" s="19"/>
      <c r="I270" s="252"/>
      <c r="J270" s="177"/>
      <c r="K270" s="177"/>
      <c r="L270" s="177"/>
      <c r="M270" s="300">
        <f>M124</f>
        <v>886.69929219529126</v>
      </c>
      <c r="N270" s="300"/>
      <c r="O270" s="268"/>
      <c r="P270" s="148"/>
      <c r="Q270" s="177"/>
      <c r="R270" s="177"/>
      <c r="S270" s="177"/>
      <c r="T270" s="148"/>
      <c r="U270" s="148"/>
      <c r="V270" s="148"/>
      <c r="W270" s="148"/>
      <c r="X270" s="148"/>
      <c r="Y270" s="148"/>
      <c r="Z270" s="148"/>
      <c r="AA270" s="148"/>
      <c r="AB270" s="148"/>
      <c r="AC270" s="148"/>
      <c r="AD270" s="148"/>
      <c r="AE270" s="148"/>
      <c r="AF270" s="148"/>
      <c r="AG270" s="148"/>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c r="BI270" s="148"/>
      <c r="BJ270" s="148"/>
      <c r="BK270" s="148"/>
    </row>
    <row r="271" spans="1:63" hidden="1" x14ac:dyDescent="0.25">
      <c r="A271" s="19"/>
      <c r="D271" s="12"/>
      <c r="E271" s="138">
        <f>E40</f>
        <v>41852</v>
      </c>
      <c r="F271" s="12"/>
      <c r="G271" s="12"/>
      <c r="H271" s="19"/>
      <c r="I271" s="252"/>
      <c r="J271" s="177"/>
      <c r="K271" s="177"/>
      <c r="L271" s="177"/>
      <c r="M271" s="152" t="s">
        <v>129</v>
      </c>
      <c r="N271" s="152"/>
      <c r="O271" s="406" t="s">
        <v>150</v>
      </c>
      <c r="P271" s="148"/>
      <c r="Q271" s="177"/>
      <c r="R271" s="177"/>
      <c r="S271" s="177"/>
      <c r="T271" s="148"/>
      <c r="U271" s="148"/>
      <c r="V271" s="148"/>
      <c r="W271" s="148"/>
      <c r="X271" s="148"/>
      <c r="Y271" s="148"/>
      <c r="Z271" s="148"/>
      <c r="AA271" s="148"/>
      <c r="AB271" s="148"/>
      <c r="AC271" s="148"/>
      <c r="AD271" s="148"/>
      <c r="AE271" s="148"/>
      <c r="AF271" s="148"/>
      <c r="AG271" s="148"/>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c r="BI271" s="148"/>
      <c r="BJ271" s="148"/>
      <c r="BK271" s="148"/>
    </row>
    <row r="272" spans="1:63" hidden="1" x14ac:dyDescent="0.25">
      <c r="A272" s="19"/>
      <c r="D272" s="12"/>
      <c r="E272" s="138">
        <f>E271</f>
        <v>41852</v>
      </c>
      <c r="F272" s="63">
        <f t="shared" ref="F272:F335" si="36">IF(M272="","",YEAR(E272))</f>
        <v>2014</v>
      </c>
      <c r="G272" s="124">
        <f>ROUNDUP(I272/12,0)</f>
        <v>1</v>
      </c>
      <c r="H272" s="19"/>
      <c r="I272" s="407">
        <v>1</v>
      </c>
      <c r="J272" s="177"/>
      <c r="K272" s="177"/>
      <c r="L272" s="177"/>
      <c r="M272" s="288">
        <f>IF(G272&gt;$G$264,"",(SUM(O$269)-SUM(O$271:O271))*(M$269/12))</f>
        <v>656.25</v>
      </c>
      <c r="N272" s="288"/>
      <c r="O272" s="408">
        <f>IF(M272="","",M$270-M272)</f>
        <v>230.44929219529126</v>
      </c>
      <c r="P272" s="148"/>
      <c r="Q272" s="177"/>
      <c r="R272" s="177"/>
      <c r="S272" s="177"/>
      <c r="T272" s="148"/>
      <c r="U272" s="148"/>
      <c r="V272" s="148"/>
      <c r="W272" s="148"/>
      <c r="X272" s="148"/>
      <c r="Y272" s="148"/>
      <c r="Z272" s="148"/>
      <c r="AA272" s="148"/>
      <c r="AB272" s="148"/>
      <c r="AC272" s="148"/>
      <c r="AD272" s="148"/>
      <c r="AE272" s="148"/>
      <c r="AF272" s="148"/>
      <c r="AG272" s="148"/>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c r="BI272" s="148"/>
      <c r="BJ272" s="148"/>
      <c r="BK272" s="148"/>
    </row>
    <row r="273" spans="1:63" hidden="1" x14ac:dyDescent="0.25">
      <c r="A273" s="19"/>
      <c r="D273" s="12"/>
      <c r="E273" s="138">
        <f t="shared" ref="E273:E336" si="37">EDATE(E272,1)</f>
        <v>41883</v>
      </c>
      <c r="F273" s="63">
        <f t="shared" si="36"/>
        <v>2014</v>
      </c>
      <c r="G273" s="124">
        <f t="shared" ref="G273:G336" si="38">ROUNDUP(I273/12,0)</f>
        <v>1</v>
      </c>
      <c r="H273" s="19"/>
      <c r="I273" s="407">
        <f>I272+1</f>
        <v>2</v>
      </c>
      <c r="J273" s="177"/>
      <c r="K273" s="177"/>
      <c r="L273" s="177"/>
      <c r="M273" s="288">
        <f>IF(G273&gt;$G$264,"",(SUM(O$269)-SUM(O$271:O272))*(M$269/12))</f>
        <v>655.38581515426768</v>
      </c>
      <c r="N273" s="288"/>
      <c r="O273" s="408">
        <f t="shared" ref="O273:O336" si="39">IF(M273="","",M$270-M273)</f>
        <v>231.31347704102359</v>
      </c>
      <c r="P273" s="148"/>
      <c r="Q273" s="177"/>
      <c r="R273" s="177"/>
      <c r="S273" s="177"/>
      <c r="T273" s="148"/>
      <c r="U273" s="148"/>
      <c r="V273" s="148"/>
      <c r="W273" s="148"/>
      <c r="X273" s="148"/>
      <c r="Y273" s="148"/>
      <c r="Z273" s="148"/>
      <c r="AA273" s="148"/>
      <c r="AB273" s="148"/>
      <c r="AC273" s="148"/>
      <c r="AD273" s="148"/>
      <c r="AE273" s="148"/>
      <c r="AF273" s="148"/>
      <c r="AG273" s="148"/>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c r="BI273" s="148"/>
      <c r="BJ273" s="148"/>
      <c r="BK273" s="148"/>
    </row>
    <row r="274" spans="1:63" hidden="1" x14ac:dyDescent="0.25">
      <c r="A274" s="19"/>
      <c r="D274" s="12"/>
      <c r="E274" s="138">
        <f t="shared" si="37"/>
        <v>41913</v>
      </c>
      <c r="F274" s="63">
        <f t="shared" si="36"/>
        <v>2014</v>
      </c>
      <c r="G274" s="124">
        <f t="shared" si="38"/>
        <v>1</v>
      </c>
      <c r="H274" s="19"/>
      <c r="I274" s="407">
        <f t="shared" ref="I274:I337" si="40">I273+1</f>
        <v>3</v>
      </c>
      <c r="J274" s="177"/>
      <c r="K274" s="177"/>
      <c r="L274" s="177"/>
      <c r="M274" s="288">
        <f>IF(G274&gt;$G$264,"",(SUM(O$269)-SUM(O$271:O273))*(M$269/12))</f>
        <v>654.51838961536384</v>
      </c>
      <c r="N274" s="288"/>
      <c r="O274" s="408">
        <f t="shared" si="39"/>
        <v>232.18090257992742</v>
      </c>
      <c r="P274" s="148"/>
      <c r="Q274" s="177"/>
      <c r="R274" s="177"/>
      <c r="S274" s="177"/>
      <c r="T274" s="148"/>
      <c r="U274" s="148"/>
      <c r="V274" s="148"/>
      <c r="W274" s="148"/>
      <c r="X274" s="148"/>
      <c r="Y274" s="148"/>
      <c r="Z274" s="148"/>
      <c r="AA274" s="148"/>
      <c r="AB274" s="148"/>
      <c r="AC274" s="148"/>
      <c r="AD274" s="148"/>
      <c r="AE274" s="148"/>
      <c r="AF274" s="148"/>
      <c r="AG274" s="148"/>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c r="BI274" s="148"/>
      <c r="BJ274" s="148"/>
      <c r="BK274" s="148"/>
    </row>
    <row r="275" spans="1:63" hidden="1" x14ac:dyDescent="0.25">
      <c r="A275" s="19"/>
      <c r="D275" s="12"/>
      <c r="E275" s="138">
        <f t="shared" si="37"/>
        <v>41944</v>
      </c>
      <c r="F275" s="63">
        <f t="shared" si="36"/>
        <v>2014</v>
      </c>
      <c r="G275" s="124">
        <f t="shared" si="38"/>
        <v>1</v>
      </c>
      <c r="H275" s="19"/>
      <c r="I275" s="407">
        <f t="shared" si="40"/>
        <v>4</v>
      </c>
      <c r="J275" s="177"/>
      <c r="K275" s="177"/>
      <c r="L275" s="177"/>
      <c r="M275" s="288">
        <f>IF(G275&gt;$G$264,"",(SUM(O$269)-SUM(O$271:O274))*(M$269/12))</f>
        <v>653.64771123068908</v>
      </c>
      <c r="N275" s="288"/>
      <c r="O275" s="408">
        <f t="shared" si="39"/>
        <v>233.05158096460218</v>
      </c>
      <c r="P275" s="148"/>
      <c r="Q275" s="177"/>
      <c r="R275" s="177"/>
      <c r="S275" s="177"/>
      <c r="T275" s="148"/>
      <c r="U275" s="148"/>
      <c r="V275" s="148"/>
      <c r="W275" s="148"/>
      <c r="X275" s="148"/>
      <c r="Y275" s="148"/>
      <c r="Z275" s="148"/>
      <c r="AA275" s="148"/>
      <c r="AB275" s="148"/>
      <c r="AC275" s="148"/>
      <c r="AD275" s="148"/>
      <c r="AE275" s="148"/>
      <c r="AF275" s="148"/>
      <c r="AG275" s="148"/>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c r="BI275" s="148"/>
      <c r="BJ275" s="148"/>
      <c r="BK275" s="148"/>
    </row>
    <row r="276" spans="1:63" hidden="1" x14ac:dyDescent="0.25">
      <c r="A276" s="19"/>
      <c r="D276" s="12"/>
      <c r="E276" s="138">
        <f t="shared" si="37"/>
        <v>41974</v>
      </c>
      <c r="F276" s="63">
        <f t="shared" si="36"/>
        <v>2014</v>
      </c>
      <c r="G276" s="124">
        <f t="shared" si="38"/>
        <v>1</v>
      </c>
      <c r="H276" s="19"/>
      <c r="I276" s="407">
        <f t="shared" si="40"/>
        <v>5</v>
      </c>
      <c r="J276" s="177"/>
      <c r="K276" s="177"/>
      <c r="L276" s="177"/>
      <c r="M276" s="288">
        <f>IF(G276&gt;$G$264,"",(SUM(O$269)-SUM(O$271:O275))*(M$269/12))</f>
        <v>652.7737678020718</v>
      </c>
      <c r="N276" s="288"/>
      <c r="O276" s="408">
        <f t="shared" si="39"/>
        <v>233.92552439321946</v>
      </c>
      <c r="P276" s="148"/>
      <c r="Q276" s="177"/>
      <c r="R276" s="177"/>
      <c r="S276" s="177"/>
      <c r="T276" s="148"/>
      <c r="U276" s="148"/>
      <c r="V276" s="148"/>
      <c r="W276" s="148"/>
      <c r="X276" s="148"/>
      <c r="Y276" s="148"/>
      <c r="Z276" s="148"/>
      <c r="AA276" s="148"/>
      <c r="AB276" s="148"/>
      <c r="AC276" s="148"/>
      <c r="AD276" s="148"/>
      <c r="AE276" s="148"/>
      <c r="AF276" s="148"/>
      <c r="AG276" s="148"/>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c r="BI276" s="148"/>
      <c r="BJ276" s="148"/>
      <c r="BK276" s="148"/>
    </row>
    <row r="277" spans="1:63" hidden="1" x14ac:dyDescent="0.25">
      <c r="A277" s="19"/>
      <c r="D277" s="12"/>
      <c r="E277" s="138">
        <f t="shared" si="37"/>
        <v>42005</v>
      </c>
      <c r="F277" s="63">
        <f t="shared" si="36"/>
        <v>2015</v>
      </c>
      <c r="G277" s="124">
        <f t="shared" si="38"/>
        <v>1</v>
      </c>
      <c r="H277" s="19"/>
      <c r="I277" s="407">
        <f t="shared" si="40"/>
        <v>6</v>
      </c>
      <c r="J277" s="177"/>
      <c r="K277" s="177"/>
      <c r="L277" s="177"/>
      <c r="M277" s="288">
        <f>IF(G277&gt;$G$264,"",(SUM(O$269)-SUM(O$271:O276))*(M$269/12))</f>
        <v>651.89654708559726</v>
      </c>
      <c r="N277" s="288"/>
      <c r="O277" s="408">
        <f t="shared" si="39"/>
        <v>234.802745109694</v>
      </c>
      <c r="P277" s="148"/>
      <c r="Q277" s="177"/>
      <c r="R277" s="177"/>
      <c r="S277" s="177"/>
      <c r="T277" s="148"/>
      <c r="U277" s="148"/>
      <c r="V277" s="148"/>
      <c r="W277" s="148"/>
      <c r="X277" s="148"/>
      <c r="Y277" s="148"/>
      <c r="Z277" s="148"/>
      <c r="AA277" s="148"/>
      <c r="AB277" s="148"/>
      <c r="AC277" s="148"/>
      <c r="AD277" s="148"/>
      <c r="AE277" s="148"/>
      <c r="AF277" s="148"/>
      <c r="AG277" s="148"/>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c r="BI277" s="148"/>
      <c r="BJ277" s="148"/>
      <c r="BK277" s="148"/>
    </row>
    <row r="278" spans="1:63" hidden="1" x14ac:dyDescent="0.25">
      <c r="A278" s="19"/>
      <c r="D278" s="12"/>
      <c r="E278" s="138">
        <f t="shared" si="37"/>
        <v>42036</v>
      </c>
      <c r="F278" s="63">
        <f t="shared" si="36"/>
        <v>2015</v>
      </c>
      <c r="G278" s="124">
        <f t="shared" si="38"/>
        <v>1</v>
      </c>
      <c r="H278" s="19"/>
      <c r="I278" s="407">
        <f t="shared" si="40"/>
        <v>7</v>
      </c>
      <c r="J278" s="177"/>
      <c r="K278" s="177"/>
      <c r="L278" s="177"/>
      <c r="M278" s="288">
        <f>IF(G278&gt;$G$264,"",(SUM(O$269)-SUM(O$271:O277))*(M$269/12))</f>
        <v>651.01603679143591</v>
      </c>
      <c r="N278" s="288"/>
      <c r="O278" s="408">
        <f t="shared" si="39"/>
        <v>235.68325540385536</v>
      </c>
      <c r="P278" s="148"/>
      <c r="Q278" s="177"/>
      <c r="R278" s="177"/>
      <c r="S278" s="177"/>
      <c r="T278" s="148"/>
      <c r="U278" s="148"/>
      <c r="V278" s="148"/>
      <c r="W278" s="148"/>
      <c r="X278" s="148"/>
      <c r="Y278" s="148"/>
      <c r="Z278" s="148"/>
      <c r="AA278" s="148"/>
      <c r="AB278" s="148"/>
      <c r="AC278" s="148"/>
      <c r="AD278" s="148"/>
      <c r="AE278" s="148"/>
      <c r="AF278" s="148"/>
      <c r="AG278" s="148"/>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c r="BI278" s="148"/>
      <c r="BJ278" s="148"/>
      <c r="BK278" s="148"/>
    </row>
    <row r="279" spans="1:63" hidden="1" x14ac:dyDescent="0.25">
      <c r="A279" s="19"/>
      <c r="D279" s="12"/>
      <c r="E279" s="138">
        <f t="shared" si="37"/>
        <v>42064</v>
      </c>
      <c r="F279" s="63">
        <f t="shared" si="36"/>
        <v>2015</v>
      </c>
      <c r="G279" s="124">
        <f t="shared" si="38"/>
        <v>1</v>
      </c>
      <c r="H279" s="19"/>
      <c r="I279" s="407">
        <f t="shared" si="40"/>
        <v>8</v>
      </c>
      <c r="J279" s="177"/>
      <c r="K279" s="177"/>
      <c r="L279" s="177"/>
      <c r="M279" s="288">
        <f>IF(G279&gt;$G$264,"",(SUM(O$269)-SUM(O$271:O278))*(M$269/12))</f>
        <v>650.13222458367147</v>
      </c>
      <c r="N279" s="288"/>
      <c r="O279" s="408">
        <f t="shared" si="39"/>
        <v>236.56706761161979</v>
      </c>
      <c r="P279" s="148"/>
      <c r="Q279" s="177"/>
      <c r="R279" s="177"/>
      <c r="S279" s="177"/>
      <c r="T279" s="148"/>
      <c r="U279" s="148"/>
      <c r="V279" s="148"/>
      <c r="W279" s="148"/>
      <c r="X279" s="148"/>
      <c r="Y279" s="148"/>
      <c r="Z279" s="148"/>
      <c r="AA279" s="148"/>
      <c r="AB279" s="148"/>
      <c r="AC279" s="148"/>
      <c r="AD279" s="148"/>
      <c r="AE279" s="148"/>
      <c r="AF279" s="148"/>
      <c r="AG279" s="148"/>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c r="BI279" s="148"/>
      <c r="BJ279" s="148"/>
      <c r="BK279" s="148"/>
    </row>
    <row r="280" spans="1:63" hidden="1" x14ac:dyDescent="0.25">
      <c r="A280" s="19"/>
      <c r="D280" s="12"/>
      <c r="E280" s="138">
        <f t="shared" si="37"/>
        <v>42095</v>
      </c>
      <c r="F280" s="63">
        <f t="shared" si="36"/>
        <v>2015</v>
      </c>
      <c r="G280" s="124">
        <f t="shared" si="38"/>
        <v>1</v>
      </c>
      <c r="H280" s="19"/>
      <c r="I280" s="407">
        <f t="shared" si="40"/>
        <v>9</v>
      </c>
      <c r="J280" s="177"/>
      <c r="K280" s="177"/>
      <c r="L280" s="177"/>
      <c r="M280" s="288">
        <f>IF(G280&gt;$G$264,"",(SUM(O$269)-SUM(O$271:O279))*(M$269/12))</f>
        <v>649.24509808012783</v>
      </c>
      <c r="N280" s="288"/>
      <c r="O280" s="408">
        <f t="shared" si="39"/>
        <v>237.45419411516343</v>
      </c>
      <c r="P280" s="148"/>
      <c r="Q280" s="177"/>
      <c r="R280" s="177"/>
      <c r="S280" s="177"/>
      <c r="T280" s="148"/>
      <c r="U280" s="148"/>
      <c r="V280" s="148"/>
      <c r="W280" s="148"/>
      <c r="X280" s="148"/>
      <c r="Y280" s="148"/>
      <c r="Z280" s="148"/>
      <c r="AA280" s="148"/>
      <c r="AB280" s="148"/>
      <c r="AC280" s="148"/>
      <c r="AD280" s="148"/>
      <c r="AE280" s="148"/>
      <c r="AF280" s="148"/>
      <c r="AG280" s="148"/>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c r="BI280" s="148"/>
      <c r="BJ280" s="148"/>
      <c r="BK280" s="148"/>
    </row>
    <row r="281" spans="1:63" hidden="1" x14ac:dyDescent="0.25">
      <c r="A281" s="19"/>
      <c r="D281" s="12"/>
      <c r="E281" s="138">
        <f t="shared" si="37"/>
        <v>42125</v>
      </c>
      <c r="F281" s="63">
        <f t="shared" si="36"/>
        <v>2015</v>
      </c>
      <c r="G281" s="124">
        <f t="shared" si="38"/>
        <v>1</v>
      </c>
      <c r="H281" s="19"/>
      <c r="I281" s="407">
        <f t="shared" si="40"/>
        <v>10</v>
      </c>
      <c r="J281" s="177"/>
      <c r="K281" s="177"/>
      <c r="L281" s="177"/>
      <c r="M281" s="288">
        <f>IF(G281&gt;$G$264,"",(SUM(O$269)-SUM(O$271:O280))*(M$269/12))</f>
        <v>648.35464485219597</v>
      </c>
      <c r="N281" s="288"/>
      <c r="O281" s="408">
        <f t="shared" si="39"/>
        <v>238.34464734309529</v>
      </c>
      <c r="P281" s="148"/>
      <c r="Q281" s="177"/>
      <c r="R281" s="177"/>
      <c r="S281" s="177"/>
      <c r="T281" s="148"/>
      <c r="U281" s="148"/>
      <c r="V281" s="148"/>
      <c r="W281" s="148"/>
      <c r="X281" s="148"/>
      <c r="Y281" s="148"/>
      <c r="Z281" s="148"/>
      <c r="AA281" s="148"/>
      <c r="AB281" s="148"/>
      <c r="AC281" s="148"/>
      <c r="AD281" s="148"/>
      <c r="AE281" s="148"/>
      <c r="AF281" s="148"/>
      <c r="AG281" s="148"/>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c r="BI281" s="148"/>
      <c r="BJ281" s="148"/>
      <c r="BK281" s="148"/>
    </row>
    <row r="282" spans="1:63" hidden="1" x14ac:dyDescent="0.25">
      <c r="A282" s="19"/>
      <c r="D282" s="12"/>
      <c r="E282" s="138">
        <f t="shared" si="37"/>
        <v>42156</v>
      </c>
      <c r="F282" s="63">
        <f t="shared" si="36"/>
        <v>2015</v>
      </c>
      <c r="G282" s="124">
        <f t="shared" si="38"/>
        <v>1</v>
      </c>
      <c r="H282" s="19"/>
      <c r="I282" s="407">
        <f t="shared" si="40"/>
        <v>11</v>
      </c>
      <c r="J282" s="177"/>
      <c r="K282" s="177"/>
      <c r="L282" s="177"/>
      <c r="M282" s="288">
        <f>IF(G282&gt;$G$264,"",(SUM(O$269)-SUM(O$271:O281))*(M$269/12))</f>
        <v>647.46085242465938</v>
      </c>
      <c r="N282" s="288"/>
      <c r="O282" s="408">
        <f t="shared" si="39"/>
        <v>239.23843977063189</v>
      </c>
      <c r="P282" s="148"/>
      <c r="Q282" s="177"/>
      <c r="R282" s="177"/>
      <c r="S282" s="177"/>
      <c r="T282" s="148"/>
      <c r="U282" s="148"/>
      <c r="V282" s="148"/>
      <c r="W282" s="148"/>
      <c r="X282" s="148"/>
      <c r="Y282" s="148"/>
      <c r="Z282" s="148"/>
      <c r="AA282" s="148"/>
      <c r="AB282" s="148"/>
      <c r="AC282" s="148"/>
      <c r="AD282" s="148"/>
      <c r="AE282" s="148"/>
      <c r="AF282" s="148"/>
      <c r="AG282" s="148"/>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c r="BI282" s="148"/>
      <c r="BJ282" s="148"/>
      <c r="BK282" s="148"/>
    </row>
    <row r="283" spans="1:63" hidden="1" x14ac:dyDescent="0.25">
      <c r="A283" s="19"/>
      <c r="D283" s="12"/>
      <c r="E283" s="138">
        <f t="shared" si="37"/>
        <v>42186</v>
      </c>
      <c r="F283" s="63">
        <f t="shared" si="36"/>
        <v>2015</v>
      </c>
      <c r="G283" s="124">
        <f t="shared" si="38"/>
        <v>1</v>
      </c>
      <c r="H283" s="19"/>
      <c r="I283" s="407">
        <f t="shared" si="40"/>
        <v>12</v>
      </c>
      <c r="J283" s="177"/>
      <c r="K283" s="177"/>
      <c r="L283" s="177"/>
      <c r="M283" s="288">
        <f>IF(G283&gt;$G$264,"",(SUM(O$269)-SUM(O$271:O282))*(M$269/12))</f>
        <v>646.5637082755195</v>
      </c>
      <c r="N283" s="288"/>
      <c r="O283" s="408">
        <f t="shared" si="39"/>
        <v>240.13558391977176</v>
      </c>
      <c r="P283" s="148"/>
      <c r="Q283" s="177"/>
      <c r="R283" s="177"/>
      <c r="S283" s="177"/>
      <c r="T283" s="148"/>
      <c r="U283" s="148"/>
      <c r="V283" s="148"/>
      <c r="W283" s="148"/>
      <c r="X283" s="148"/>
      <c r="Y283" s="148"/>
      <c r="Z283" s="148"/>
      <c r="AA283" s="148"/>
      <c r="AB283" s="148"/>
      <c r="AC283" s="148"/>
      <c r="AD283" s="148"/>
      <c r="AE283" s="148"/>
      <c r="AF283" s="148"/>
      <c r="AG283" s="148"/>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c r="BI283" s="148"/>
      <c r="BJ283" s="148"/>
      <c r="BK283" s="148"/>
    </row>
    <row r="284" spans="1:63" hidden="1" x14ac:dyDescent="0.25">
      <c r="A284" s="19"/>
      <c r="D284" s="12"/>
      <c r="E284" s="138">
        <f t="shared" si="37"/>
        <v>42217</v>
      </c>
      <c r="F284" s="63">
        <f t="shared" si="36"/>
        <v>2015</v>
      </c>
      <c r="G284" s="124">
        <f t="shared" si="38"/>
        <v>2</v>
      </c>
      <c r="H284" s="19"/>
      <c r="I284" s="407">
        <f t="shared" si="40"/>
        <v>13</v>
      </c>
      <c r="J284" s="177"/>
      <c r="K284" s="177"/>
      <c r="L284" s="177"/>
      <c r="M284" s="288">
        <f>IF(G284&gt;$G$264,"",(SUM(O$269)-SUM(O$271:O283))*(M$269/12))</f>
        <v>645.66319983582036</v>
      </c>
      <c r="N284" s="288"/>
      <c r="O284" s="408">
        <f t="shared" si="39"/>
        <v>241.0360923594709</v>
      </c>
      <c r="P284" s="148"/>
      <c r="Q284" s="177"/>
      <c r="R284" s="177"/>
      <c r="S284" s="177"/>
      <c r="T284" s="148"/>
      <c r="U284" s="148"/>
      <c r="V284" s="148"/>
      <c r="W284" s="148"/>
      <c r="X284" s="148"/>
      <c r="Y284" s="148"/>
      <c r="Z284" s="148"/>
      <c r="AA284" s="148"/>
      <c r="AB284" s="148"/>
      <c r="AC284" s="148"/>
      <c r="AD284" s="148"/>
      <c r="AE284" s="148"/>
      <c r="AF284" s="148"/>
      <c r="AG284" s="148"/>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row>
    <row r="285" spans="1:63" hidden="1" x14ac:dyDescent="0.25">
      <c r="A285" s="19"/>
      <c r="D285" s="12"/>
      <c r="E285" s="138">
        <f t="shared" si="37"/>
        <v>42248</v>
      </c>
      <c r="F285" s="63">
        <f t="shared" si="36"/>
        <v>2015</v>
      </c>
      <c r="G285" s="124">
        <f t="shared" si="38"/>
        <v>2</v>
      </c>
      <c r="H285" s="19"/>
      <c r="I285" s="407">
        <f t="shared" si="40"/>
        <v>14</v>
      </c>
      <c r="J285" s="177"/>
      <c r="K285" s="177"/>
      <c r="L285" s="177"/>
      <c r="M285" s="288">
        <f>IF(G285&gt;$G$264,"",(SUM(O$269)-SUM(O$271:O284))*(M$269/12))</f>
        <v>644.75931448947233</v>
      </c>
      <c r="N285" s="288"/>
      <c r="O285" s="408">
        <f t="shared" si="39"/>
        <v>241.93997770581893</v>
      </c>
      <c r="P285" s="148"/>
      <c r="Q285" s="177"/>
      <c r="R285" s="177"/>
      <c r="S285" s="177"/>
      <c r="T285" s="148"/>
      <c r="U285" s="148"/>
      <c r="V285" s="148"/>
      <c r="W285" s="148"/>
      <c r="X285" s="148"/>
      <c r="Y285" s="148"/>
      <c r="Z285" s="148"/>
      <c r="AA285" s="148"/>
      <c r="AB285" s="148"/>
      <c r="AC285" s="148"/>
      <c r="AD285" s="148"/>
      <c r="AE285" s="148"/>
      <c r="AF285" s="148"/>
      <c r="AG285" s="148"/>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row>
    <row r="286" spans="1:63" hidden="1" x14ac:dyDescent="0.25">
      <c r="A286" s="19"/>
      <c r="D286" s="12"/>
      <c r="E286" s="138">
        <f t="shared" si="37"/>
        <v>42278</v>
      </c>
      <c r="F286" s="63">
        <f t="shared" si="36"/>
        <v>2015</v>
      </c>
      <c r="G286" s="124">
        <f t="shared" si="38"/>
        <v>2</v>
      </c>
      <c r="H286" s="19"/>
      <c r="I286" s="407">
        <f t="shared" si="40"/>
        <v>15</v>
      </c>
      <c r="J286" s="177"/>
      <c r="K286" s="177"/>
      <c r="L286" s="177"/>
      <c r="M286" s="288">
        <f>IF(G286&gt;$G$264,"",(SUM(O$269)-SUM(O$271:O285))*(M$269/12))</f>
        <v>643.85203957307556</v>
      </c>
      <c r="N286" s="288"/>
      <c r="O286" s="408">
        <f t="shared" si="39"/>
        <v>242.84725262221571</v>
      </c>
      <c r="P286" s="148"/>
      <c r="Q286" s="177"/>
      <c r="R286" s="177"/>
      <c r="S286" s="177"/>
      <c r="T286" s="148"/>
      <c r="U286" s="148"/>
      <c r="V286" s="148"/>
      <c r="W286" s="148"/>
      <c r="X286" s="148"/>
      <c r="Y286" s="148"/>
      <c r="Z286" s="148"/>
      <c r="AA286" s="148"/>
      <c r="AB286" s="148"/>
      <c r="AC286" s="148"/>
      <c r="AD286" s="148"/>
      <c r="AE286" s="148"/>
      <c r="AF286" s="148"/>
      <c r="AG286" s="148"/>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c r="BI286" s="148"/>
      <c r="BJ286" s="148"/>
      <c r="BK286" s="148"/>
    </row>
    <row r="287" spans="1:63" hidden="1" x14ac:dyDescent="0.25">
      <c r="A287" s="19"/>
      <c r="D287" s="12"/>
      <c r="E287" s="138">
        <f t="shared" si="37"/>
        <v>42309</v>
      </c>
      <c r="F287" s="63">
        <f t="shared" si="36"/>
        <v>2015</v>
      </c>
      <c r="G287" s="124">
        <f t="shared" si="38"/>
        <v>2</v>
      </c>
      <c r="H287" s="19"/>
      <c r="I287" s="407">
        <f t="shared" si="40"/>
        <v>16</v>
      </c>
      <c r="J287" s="177"/>
      <c r="K287" s="177"/>
      <c r="L287" s="177"/>
      <c r="M287" s="288">
        <f>IF(G287&gt;$G$264,"",(SUM(O$269)-SUM(O$271:O286))*(M$269/12))</f>
        <v>642.94136237574219</v>
      </c>
      <c r="N287" s="288"/>
      <c r="O287" s="408">
        <f t="shared" si="39"/>
        <v>243.75792981954908</v>
      </c>
      <c r="P287" s="148"/>
      <c r="Q287" s="177"/>
      <c r="R287" s="177"/>
      <c r="S287" s="177"/>
      <c r="T287" s="148"/>
      <c r="U287" s="148"/>
      <c r="V287" s="148"/>
      <c r="W287" s="148"/>
      <c r="X287" s="148"/>
      <c r="Y287" s="148"/>
      <c r="Z287" s="148"/>
      <c r="AA287" s="148"/>
      <c r="AB287" s="148"/>
      <c r="AC287" s="148"/>
      <c r="AD287" s="148"/>
      <c r="AE287" s="148"/>
      <c r="AF287" s="148"/>
      <c r="AG287" s="148"/>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c r="BI287" s="148"/>
      <c r="BJ287" s="148"/>
      <c r="BK287" s="148"/>
    </row>
    <row r="288" spans="1:63" hidden="1" x14ac:dyDescent="0.25">
      <c r="A288" s="19"/>
      <c r="D288" s="12"/>
      <c r="E288" s="138">
        <f t="shared" si="37"/>
        <v>42339</v>
      </c>
      <c r="F288" s="63">
        <f t="shared" si="36"/>
        <v>2015</v>
      </c>
      <c r="G288" s="124">
        <f t="shared" si="38"/>
        <v>2</v>
      </c>
      <c r="H288" s="19"/>
      <c r="I288" s="407">
        <f t="shared" si="40"/>
        <v>17</v>
      </c>
      <c r="J288" s="177"/>
      <c r="K288" s="177"/>
      <c r="L288" s="177"/>
      <c r="M288" s="288">
        <f>IF(G288&gt;$G$264,"",(SUM(O$269)-SUM(O$271:O287))*(M$269/12))</f>
        <v>642.02727013891888</v>
      </c>
      <c r="N288" s="288"/>
      <c r="O288" s="408">
        <f t="shared" si="39"/>
        <v>244.67202205637238</v>
      </c>
      <c r="P288" s="148"/>
      <c r="Q288" s="177"/>
      <c r="R288" s="177"/>
      <c r="S288" s="177"/>
      <c r="T288" s="148"/>
      <c r="U288" s="148"/>
      <c r="V288" s="148"/>
      <c r="W288" s="148"/>
      <c r="X288" s="148"/>
      <c r="Y288" s="148"/>
      <c r="Z288" s="148"/>
      <c r="AA288" s="148"/>
      <c r="AB288" s="148"/>
      <c r="AC288" s="148"/>
      <c r="AD288" s="148"/>
      <c r="AE288" s="148"/>
      <c r="AF288" s="148"/>
      <c r="AG288" s="148"/>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c r="BI288" s="148"/>
      <c r="BJ288" s="148"/>
      <c r="BK288" s="148"/>
    </row>
    <row r="289" spans="1:63" hidden="1" x14ac:dyDescent="0.25">
      <c r="A289" s="19"/>
      <c r="D289" s="12"/>
      <c r="E289" s="138">
        <f t="shared" si="37"/>
        <v>42370</v>
      </c>
      <c r="F289" s="63">
        <f t="shared" si="36"/>
        <v>2016</v>
      </c>
      <c r="G289" s="124">
        <f t="shared" si="38"/>
        <v>2</v>
      </c>
      <c r="H289" s="19"/>
      <c r="I289" s="407">
        <f t="shared" si="40"/>
        <v>18</v>
      </c>
      <c r="J289" s="177"/>
      <c r="K289" s="177"/>
      <c r="L289" s="177"/>
      <c r="M289" s="288">
        <f>IF(G289&gt;$G$264,"",(SUM(O$269)-SUM(O$271:O288))*(M$269/12))</f>
        <v>641.10975005620753</v>
      </c>
      <c r="N289" s="288"/>
      <c r="O289" s="408">
        <f t="shared" si="39"/>
        <v>245.58954213908373</v>
      </c>
      <c r="P289" s="148"/>
      <c r="Q289" s="177"/>
      <c r="R289" s="177"/>
      <c r="S289" s="177"/>
      <c r="T289" s="148"/>
      <c r="U289" s="148"/>
      <c r="V289" s="148"/>
      <c r="W289" s="148"/>
      <c r="X289" s="148"/>
      <c r="Y289" s="148"/>
      <c r="Z289" s="148"/>
      <c r="AA289" s="148"/>
      <c r="AB289" s="148"/>
      <c r="AC289" s="148"/>
      <c r="AD289" s="148"/>
      <c r="AE289" s="148"/>
      <c r="AF289" s="148"/>
      <c r="AG289" s="148"/>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c r="BI289" s="148"/>
      <c r="BJ289" s="148"/>
      <c r="BK289" s="148"/>
    </row>
    <row r="290" spans="1:63" hidden="1" x14ac:dyDescent="0.25">
      <c r="A290" s="19"/>
      <c r="D290" s="12"/>
      <c r="E290" s="138">
        <f t="shared" si="37"/>
        <v>42401</v>
      </c>
      <c r="F290" s="63">
        <f t="shared" si="36"/>
        <v>2016</v>
      </c>
      <c r="G290" s="124">
        <f t="shared" si="38"/>
        <v>2</v>
      </c>
      <c r="H290" s="19"/>
      <c r="I290" s="407">
        <f t="shared" si="40"/>
        <v>19</v>
      </c>
      <c r="J290" s="177"/>
      <c r="K290" s="177"/>
      <c r="L290" s="177"/>
      <c r="M290" s="288">
        <f>IF(G290&gt;$G$264,"",(SUM(O$269)-SUM(O$271:O289))*(M$269/12))</f>
        <v>640.18878927318599</v>
      </c>
      <c r="N290" s="288"/>
      <c r="O290" s="408">
        <f t="shared" si="39"/>
        <v>246.51050292210527</v>
      </c>
      <c r="P290" s="148"/>
      <c r="Q290" s="177"/>
      <c r="R290" s="177"/>
      <c r="S290" s="177"/>
      <c r="T290" s="148"/>
      <c r="U290" s="148"/>
      <c r="V290" s="148"/>
      <c r="W290" s="148"/>
      <c r="X290" s="148"/>
      <c r="Y290" s="148"/>
      <c r="Z290" s="148"/>
      <c r="AA290" s="148"/>
      <c r="AB290" s="148"/>
      <c r="AC290" s="148"/>
      <c r="AD290" s="148"/>
      <c r="AE290" s="148"/>
      <c r="AF290" s="148"/>
      <c r="AG290" s="148"/>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c r="BI290" s="148"/>
      <c r="BJ290" s="148"/>
      <c r="BK290" s="148"/>
    </row>
    <row r="291" spans="1:63" hidden="1" x14ac:dyDescent="0.25">
      <c r="A291" s="19"/>
      <c r="D291" s="12"/>
      <c r="E291" s="138">
        <f t="shared" si="37"/>
        <v>42430</v>
      </c>
      <c r="F291" s="63">
        <f t="shared" si="36"/>
        <v>2016</v>
      </c>
      <c r="G291" s="124">
        <f t="shared" si="38"/>
        <v>2</v>
      </c>
      <c r="H291" s="19"/>
      <c r="I291" s="407">
        <f t="shared" si="40"/>
        <v>20</v>
      </c>
      <c r="J291" s="177"/>
      <c r="K291" s="177"/>
      <c r="L291" s="177"/>
      <c r="M291" s="288">
        <f>IF(G291&gt;$G$264,"",(SUM(O$269)-SUM(O$271:O290))*(M$269/12))</f>
        <v>639.26437488722797</v>
      </c>
      <c r="N291" s="288"/>
      <c r="O291" s="408">
        <f t="shared" si="39"/>
        <v>247.43491730806329</v>
      </c>
      <c r="P291" s="148"/>
      <c r="Q291" s="177"/>
      <c r="R291" s="177"/>
      <c r="S291" s="177"/>
      <c r="T291" s="148"/>
      <c r="U291" s="148"/>
      <c r="V291" s="148"/>
      <c r="W291" s="148"/>
      <c r="X291" s="148"/>
      <c r="Y291" s="148"/>
      <c r="Z291" s="148"/>
      <c r="AA291" s="148"/>
      <c r="AB291" s="148"/>
      <c r="AC291" s="148"/>
      <c r="AD291" s="148"/>
      <c r="AE291" s="148"/>
      <c r="AF291" s="148"/>
      <c r="AG291" s="148"/>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c r="BI291" s="148"/>
      <c r="BJ291" s="148"/>
      <c r="BK291" s="148"/>
    </row>
    <row r="292" spans="1:63" hidden="1" x14ac:dyDescent="0.25">
      <c r="A292" s="19"/>
      <c r="D292" s="12"/>
      <c r="E292" s="138">
        <f t="shared" si="37"/>
        <v>42461</v>
      </c>
      <c r="F292" s="63">
        <f t="shared" si="36"/>
        <v>2016</v>
      </c>
      <c r="G292" s="124">
        <f t="shared" si="38"/>
        <v>2</v>
      </c>
      <c r="H292" s="19"/>
      <c r="I292" s="407">
        <f t="shared" si="40"/>
        <v>21</v>
      </c>
      <c r="J292" s="177"/>
      <c r="K292" s="177"/>
      <c r="L292" s="177"/>
      <c r="M292" s="288">
        <f>IF(G292&gt;$G$264,"",(SUM(O$269)-SUM(O$271:O291))*(M$269/12))</f>
        <v>638.33649394732288</v>
      </c>
      <c r="N292" s="288"/>
      <c r="O292" s="408">
        <f t="shared" si="39"/>
        <v>248.36279824796839</v>
      </c>
      <c r="P292" s="148"/>
      <c r="Q292" s="177"/>
      <c r="R292" s="177"/>
      <c r="S292" s="177"/>
      <c r="T292" s="148"/>
      <c r="U292" s="148"/>
      <c r="V292" s="148"/>
      <c r="W292" s="148"/>
      <c r="X292" s="148"/>
      <c r="Y292" s="148"/>
      <c r="Z292" s="148"/>
      <c r="AA292" s="148"/>
      <c r="AB292" s="148"/>
      <c r="AC292" s="148"/>
      <c r="AD292" s="148"/>
      <c r="AE292" s="148"/>
      <c r="AF292" s="148"/>
      <c r="AG292" s="148"/>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c r="BI292" s="148"/>
      <c r="BJ292" s="148"/>
      <c r="BK292" s="148"/>
    </row>
    <row r="293" spans="1:63" hidden="1" x14ac:dyDescent="0.25">
      <c r="A293" s="19"/>
      <c r="D293" s="12"/>
      <c r="E293" s="138">
        <f t="shared" si="37"/>
        <v>42491</v>
      </c>
      <c r="F293" s="63">
        <f t="shared" si="36"/>
        <v>2016</v>
      </c>
      <c r="G293" s="124">
        <f t="shared" si="38"/>
        <v>2</v>
      </c>
      <c r="H293" s="19"/>
      <c r="I293" s="407">
        <f t="shared" si="40"/>
        <v>22</v>
      </c>
      <c r="J293" s="177"/>
      <c r="K293" s="177"/>
      <c r="L293" s="177"/>
      <c r="M293" s="288">
        <f>IF(G293&gt;$G$264,"",(SUM(O$269)-SUM(O$271:O292))*(M$269/12))</f>
        <v>637.40513345389297</v>
      </c>
      <c r="N293" s="288"/>
      <c r="O293" s="408">
        <f t="shared" si="39"/>
        <v>249.29415874139829</v>
      </c>
      <c r="P293" s="148"/>
      <c r="Q293" s="177"/>
      <c r="R293" s="177"/>
      <c r="S293" s="177"/>
      <c r="T293" s="148"/>
      <c r="U293" s="148"/>
      <c r="V293" s="148"/>
      <c r="W293" s="148"/>
      <c r="X293" s="148"/>
      <c r="Y293" s="148"/>
      <c r="Z293" s="148"/>
      <c r="AA293" s="148"/>
      <c r="AB293" s="148"/>
      <c r="AC293" s="148"/>
      <c r="AD293" s="148"/>
      <c r="AE293" s="148"/>
      <c r="AF293" s="148"/>
      <c r="AG293" s="148"/>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c r="BI293" s="148"/>
      <c r="BJ293" s="148"/>
      <c r="BK293" s="148"/>
    </row>
    <row r="294" spans="1:63" hidden="1" x14ac:dyDescent="0.25">
      <c r="A294" s="19"/>
      <c r="D294" s="12"/>
      <c r="E294" s="138">
        <f t="shared" si="37"/>
        <v>42522</v>
      </c>
      <c r="F294" s="63">
        <f t="shared" si="36"/>
        <v>2016</v>
      </c>
      <c r="G294" s="124">
        <f t="shared" si="38"/>
        <v>2</v>
      </c>
      <c r="H294" s="19"/>
      <c r="I294" s="407">
        <f t="shared" si="40"/>
        <v>23</v>
      </c>
      <c r="J294" s="177"/>
      <c r="K294" s="177"/>
      <c r="L294" s="177"/>
      <c r="M294" s="288">
        <f>IF(G294&gt;$G$264,"",(SUM(O$269)-SUM(O$271:O293))*(M$269/12))</f>
        <v>636.47028035861274</v>
      </c>
      <c r="N294" s="288"/>
      <c r="O294" s="408">
        <f t="shared" si="39"/>
        <v>250.22901183667852</v>
      </c>
      <c r="P294" s="148"/>
      <c r="Q294" s="177"/>
      <c r="R294" s="177"/>
      <c r="S294" s="177"/>
      <c r="T294" s="148"/>
      <c r="U294" s="148"/>
      <c r="V294" s="148"/>
      <c r="W294" s="148"/>
      <c r="X294" s="148"/>
      <c r="Y294" s="148"/>
      <c r="Z294" s="148"/>
      <c r="AA294" s="148"/>
      <c r="AB294" s="148"/>
      <c r="AC294" s="148"/>
      <c r="AD294" s="148"/>
      <c r="AE294" s="148"/>
      <c r="AF294" s="148"/>
      <c r="AG294" s="148"/>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c r="BI294" s="148"/>
      <c r="BJ294" s="148"/>
      <c r="BK294" s="148"/>
    </row>
    <row r="295" spans="1:63" hidden="1" x14ac:dyDescent="0.25">
      <c r="A295" s="19"/>
      <c r="D295" s="12"/>
      <c r="E295" s="138">
        <f t="shared" si="37"/>
        <v>42552</v>
      </c>
      <c r="F295" s="63">
        <f t="shared" si="36"/>
        <v>2016</v>
      </c>
      <c r="G295" s="124">
        <f t="shared" si="38"/>
        <v>2</v>
      </c>
      <c r="H295" s="19"/>
      <c r="I295" s="407">
        <f t="shared" si="40"/>
        <v>24</v>
      </c>
      <c r="J295" s="177"/>
      <c r="K295" s="177"/>
      <c r="L295" s="177"/>
      <c r="M295" s="288">
        <f>IF(G295&gt;$G$264,"",(SUM(O$269)-SUM(O$271:O294))*(M$269/12))</f>
        <v>635.53192156422506</v>
      </c>
      <c r="N295" s="288"/>
      <c r="O295" s="408">
        <f t="shared" si="39"/>
        <v>251.16737063106621</v>
      </c>
      <c r="P295" s="148"/>
      <c r="Q295" s="177"/>
      <c r="R295" s="177"/>
      <c r="S295" s="177"/>
      <c r="T295" s="148"/>
      <c r="U295" s="148"/>
      <c r="V295" s="148"/>
      <c r="W295" s="148"/>
      <c r="X295" s="148"/>
      <c r="Y295" s="148"/>
      <c r="Z295" s="148"/>
      <c r="AA295" s="148"/>
      <c r="AB295" s="148"/>
      <c r="AC295" s="148"/>
      <c r="AD295" s="148"/>
      <c r="AE295" s="148"/>
      <c r="AF295" s="148"/>
      <c r="AG295" s="148"/>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c r="BI295" s="148"/>
      <c r="BJ295" s="148"/>
      <c r="BK295" s="148"/>
    </row>
    <row r="296" spans="1:63" hidden="1" x14ac:dyDescent="0.25">
      <c r="A296" s="19"/>
      <c r="D296" s="12"/>
      <c r="E296" s="138">
        <f t="shared" si="37"/>
        <v>42583</v>
      </c>
      <c r="F296" s="63">
        <f t="shared" si="36"/>
        <v>2016</v>
      </c>
      <c r="G296" s="124">
        <f t="shared" si="38"/>
        <v>3</v>
      </c>
      <c r="H296" s="19"/>
      <c r="I296" s="407">
        <f t="shared" si="40"/>
        <v>25</v>
      </c>
      <c r="J296" s="177"/>
      <c r="K296" s="177"/>
      <c r="L296" s="177"/>
      <c r="M296" s="288">
        <f>IF(G296&gt;$G$264,"",(SUM(O$269)-SUM(O$271:O295))*(M$269/12))</f>
        <v>634.59004392435872</v>
      </c>
      <c r="N296" s="288"/>
      <c r="O296" s="408">
        <f t="shared" si="39"/>
        <v>252.10924827093254</v>
      </c>
      <c r="P296" s="148"/>
      <c r="Q296" s="177"/>
      <c r="R296" s="177"/>
      <c r="S296" s="177"/>
      <c r="T296" s="148"/>
      <c r="U296" s="148"/>
      <c r="V296" s="148"/>
      <c r="W296" s="148"/>
      <c r="X296" s="148"/>
      <c r="Y296" s="148"/>
      <c r="Z296" s="148"/>
      <c r="AA296" s="148"/>
      <c r="AB296" s="148"/>
      <c r="AC296" s="148"/>
      <c r="AD296" s="148"/>
      <c r="AE296" s="148"/>
      <c r="AF296" s="148"/>
      <c r="AG296" s="148"/>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c r="BI296" s="148"/>
      <c r="BJ296" s="148"/>
      <c r="BK296" s="148"/>
    </row>
    <row r="297" spans="1:63" hidden="1" x14ac:dyDescent="0.25">
      <c r="A297" s="19"/>
      <c r="D297" s="12"/>
      <c r="E297" s="138">
        <f t="shared" si="37"/>
        <v>42614</v>
      </c>
      <c r="F297" s="63">
        <f t="shared" si="36"/>
        <v>2016</v>
      </c>
      <c r="G297" s="124">
        <f t="shared" si="38"/>
        <v>3</v>
      </c>
      <c r="H297" s="19"/>
      <c r="I297" s="407">
        <f t="shared" si="40"/>
        <v>26</v>
      </c>
      <c r="J297" s="177"/>
      <c r="K297" s="177"/>
      <c r="L297" s="177"/>
      <c r="M297" s="288">
        <f>IF(G297&gt;$G$264,"",(SUM(O$269)-SUM(O$271:O296))*(M$269/12))</f>
        <v>633.64463424334269</v>
      </c>
      <c r="N297" s="288"/>
      <c r="O297" s="408">
        <f t="shared" si="39"/>
        <v>253.05465795194857</v>
      </c>
      <c r="P297" s="148"/>
      <c r="Q297" s="177"/>
      <c r="R297" s="177"/>
      <c r="S297" s="177"/>
      <c r="T297" s="148"/>
      <c r="U297" s="148"/>
      <c r="V297" s="148"/>
      <c r="W297" s="148"/>
      <c r="X297" s="148"/>
      <c r="Y297" s="148"/>
      <c r="Z297" s="148"/>
      <c r="AA297" s="148"/>
      <c r="AB297" s="148"/>
      <c r="AC297" s="148"/>
      <c r="AD297" s="148"/>
      <c r="AE297" s="148"/>
      <c r="AF297" s="148"/>
      <c r="AG297" s="148"/>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c r="BI297" s="148"/>
      <c r="BJ297" s="148"/>
      <c r="BK297" s="148"/>
    </row>
    <row r="298" spans="1:63" hidden="1" x14ac:dyDescent="0.25">
      <c r="A298" s="19"/>
      <c r="D298" s="12"/>
      <c r="E298" s="138">
        <f t="shared" si="37"/>
        <v>42644</v>
      </c>
      <c r="F298" s="63">
        <f t="shared" si="36"/>
        <v>2016</v>
      </c>
      <c r="G298" s="124">
        <f t="shared" si="38"/>
        <v>3</v>
      </c>
      <c r="H298" s="19"/>
      <c r="I298" s="407">
        <f t="shared" si="40"/>
        <v>27</v>
      </c>
      <c r="J298" s="177"/>
      <c r="K298" s="177"/>
      <c r="L298" s="177"/>
      <c r="M298" s="288">
        <f>IF(G298&gt;$G$264,"",(SUM(O$269)-SUM(O$271:O297))*(M$269/12))</f>
        <v>632.69567927602282</v>
      </c>
      <c r="N298" s="288"/>
      <c r="O298" s="408">
        <f t="shared" si="39"/>
        <v>254.00361291926845</v>
      </c>
      <c r="P298" s="148"/>
      <c r="Q298" s="177"/>
      <c r="R298" s="177"/>
      <c r="S298" s="177"/>
      <c r="T298" s="148"/>
      <c r="U298" s="148"/>
      <c r="V298" s="148"/>
      <c r="W298" s="148"/>
      <c r="X298" s="148"/>
      <c r="Y298" s="148"/>
      <c r="Z298" s="148"/>
      <c r="AA298" s="148"/>
      <c r="AB298" s="148"/>
      <c r="AC298" s="148"/>
      <c r="AD298" s="148"/>
      <c r="AE298" s="148"/>
      <c r="AF298" s="148"/>
      <c r="AG298" s="148"/>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c r="BI298" s="148"/>
      <c r="BJ298" s="148"/>
      <c r="BK298" s="148"/>
    </row>
    <row r="299" spans="1:63" hidden="1" x14ac:dyDescent="0.25">
      <c r="A299" s="19"/>
      <c r="D299" s="12"/>
      <c r="E299" s="138">
        <f t="shared" si="37"/>
        <v>42675</v>
      </c>
      <c r="F299" s="63">
        <f t="shared" si="36"/>
        <v>2016</v>
      </c>
      <c r="G299" s="124">
        <f t="shared" si="38"/>
        <v>3</v>
      </c>
      <c r="H299" s="19"/>
      <c r="I299" s="407">
        <f t="shared" si="40"/>
        <v>28</v>
      </c>
      <c r="J299" s="177"/>
      <c r="K299" s="177"/>
      <c r="L299" s="177"/>
      <c r="M299" s="288">
        <f>IF(G299&gt;$G$264,"",(SUM(O$269)-SUM(O$271:O298))*(M$269/12))</f>
        <v>631.74316572757562</v>
      </c>
      <c r="N299" s="288"/>
      <c r="O299" s="408">
        <f t="shared" si="39"/>
        <v>254.95612646771565</v>
      </c>
      <c r="P299" s="148"/>
      <c r="Q299" s="177"/>
      <c r="R299" s="177"/>
      <c r="S299" s="177"/>
      <c r="T299" s="148"/>
      <c r="U299" s="148"/>
      <c r="V299" s="148"/>
      <c r="W299" s="148"/>
      <c r="X299" s="148"/>
      <c r="Y299" s="148"/>
      <c r="Z299" s="148"/>
      <c r="AA299" s="148"/>
      <c r="AB299" s="148"/>
      <c r="AC299" s="148"/>
      <c r="AD299" s="148"/>
      <c r="AE299" s="148"/>
      <c r="AF299" s="148"/>
      <c r="AG299" s="148"/>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c r="BI299" s="148"/>
      <c r="BJ299" s="148"/>
      <c r="BK299" s="148"/>
    </row>
    <row r="300" spans="1:63" hidden="1" x14ac:dyDescent="0.25">
      <c r="A300" s="19"/>
      <c r="D300" s="12"/>
      <c r="E300" s="138">
        <f t="shared" si="37"/>
        <v>42705</v>
      </c>
      <c r="F300" s="63">
        <f t="shared" si="36"/>
        <v>2016</v>
      </c>
      <c r="G300" s="124">
        <f t="shared" si="38"/>
        <v>3</v>
      </c>
      <c r="H300" s="19"/>
      <c r="I300" s="407">
        <f t="shared" si="40"/>
        <v>29</v>
      </c>
      <c r="J300" s="177"/>
      <c r="K300" s="177"/>
      <c r="L300" s="177"/>
      <c r="M300" s="288">
        <f>IF(G300&gt;$G$264,"",(SUM(O$269)-SUM(O$271:O299))*(M$269/12))</f>
        <v>630.78708025332162</v>
      </c>
      <c r="N300" s="288"/>
      <c r="O300" s="408">
        <f t="shared" si="39"/>
        <v>255.91221194196964</v>
      </c>
      <c r="P300" s="148"/>
      <c r="Q300" s="177"/>
      <c r="R300" s="177"/>
      <c r="S300" s="177"/>
      <c r="T300" s="148"/>
      <c r="U300" s="148"/>
      <c r="V300" s="148"/>
      <c r="W300" s="148"/>
      <c r="X300" s="148"/>
      <c r="Y300" s="148"/>
      <c r="Z300" s="148"/>
      <c r="AA300" s="148"/>
      <c r="AB300" s="148"/>
      <c r="AC300" s="148"/>
      <c r="AD300" s="148"/>
      <c r="AE300" s="148"/>
      <c r="AF300" s="148"/>
      <c r="AG300" s="148"/>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c r="BI300" s="148"/>
      <c r="BJ300" s="148"/>
      <c r="BK300" s="148"/>
    </row>
    <row r="301" spans="1:63" hidden="1" x14ac:dyDescent="0.25">
      <c r="A301" s="19"/>
      <c r="D301" s="12"/>
      <c r="E301" s="138">
        <f t="shared" si="37"/>
        <v>42736</v>
      </c>
      <c r="F301" s="63">
        <f t="shared" si="36"/>
        <v>2017</v>
      </c>
      <c r="G301" s="124">
        <f t="shared" si="38"/>
        <v>3</v>
      </c>
      <c r="H301" s="19"/>
      <c r="I301" s="407">
        <f t="shared" si="40"/>
        <v>30</v>
      </c>
      <c r="J301" s="177"/>
      <c r="K301" s="177"/>
      <c r="L301" s="177"/>
      <c r="M301" s="288">
        <f>IF(G301&gt;$G$264,"",(SUM(O$269)-SUM(O$271:O300))*(M$269/12))</f>
        <v>629.82740945853925</v>
      </c>
      <c r="N301" s="288"/>
      <c r="O301" s="408">
        <f t="shared" si="39"/>
        <v>256.87188273675201</v>
      </c>
      <c r="P301" s="148"/>
      <c r="Q301" s="177"/>
      <c r="R301" s="177"/>
      <c r="S301" s="177"/>
      <c r="T301" s="148"/>
      <c r="U301" s="148"/>
      <c r="V301" s="148"/>
      <c r="W301" s="148"/>
      <c r="X301" s="148"/>
      <c r="Y301" s="148"/>
      <c r="Z301" s="148"/>
      <c r="AA301" s="148"/>
      <c r="AB301" s="148"/>
      <c r="AC301" s="148"/>
      <c r="AD301" s="148"/>
      <c r="AE301" s="148"/>
      <c r="AF301" s="148"/>
      <c r="AG301" s="148"/>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c r="BI301" s="148"/>
      <c r="BJ301" s="148"/>
      <c r="BK301" s="148"/>
    </row>
    <row r="302" spans="1:63" hidden="1" x14ac:dyDescent="0.25">
      <c r="A302" s="19"/>
      <c r="D302" s="12"/>
      <c r="E302" s="138">
        <f t="shared" si="37"/>
        <v>42767</v>
      </c>
      <c r="F302" s="63">
        <f t="shared" si="36"/>
        <v>2017</v>
      </c>
      <c r="G302" s="124">
        <f t="shared" si="38"/>
        <v>3</v>
      </c>
      <c r="H302" s="19"/>
      <c r="I302" s="407">
        <f t="shared" si="40"/>
        <v>31</v>
      </c>
      <c r="J302" s="177"/>
      <c r="K302" s="177"/>
      <c r="L302" s="177"/>
      <c r="M302" s="288">
        <f>IF(G302&gt;$G$264,"",(SUM(O$269)-SUM(O$271:O301))*(M$269/12))</f>
        <v>628.86413989827645</v>
      </c>
      <c r="N302" s="288"/>
      <c r="O302" s="408">
        <f t="shared" si="39"/>
        <v>257.83515229701482</v>
      </c>
      <c r="P302" s="148"/>
      <c r="Q302" s="177"/>
      <c r="R302" s="177"/>
      <c r="S302" s="177"/>
      <c r="T302" s="148"/>
      <c r="U302" s="148"/>
      <c r="V302" s="148"/>
      <c r="W302" s="148"/>
      <c r="X302" s="148"/>
      <c r="Y302" s="148"/>
      <c r="Z302" s="148"/>
      <c r="AA302" s="148"/>
      <c r="AB302" s="148"/>
      <c r="AC302" s="148"/>
      <c r="AD302" s="148"/>
      <c r="AE302" s="148"/>
      <c r="AF302" s="148"/>
      <c r="AG302" s="148"/>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c r="BI302" s="148"/>
      <c r="BJ302" s="148"/>
      <c r="BK302" s="148"/>
    </row>
    <row r="303" spans="1:63" hidden="1" x14ac:dyDescent="0.25">
      <c r="A303" s="19"/>
      <c r="D303" s="12"/>
      <c r="E303" s="138">
        <f t="shared" si="37"/>
        <v>42795</v>
      </c>
      <c r="F303" s="63">
        <f t="shared" si="36"/>
        <v>2017</v>
      </c>
      <c r="G303" s="124">
        <f t="shared" si="38"/>
        <v>3</v>
      </c>
      <c r="H303" s="19"/>
      <c r="I303" s="407">
        <f t="shared" si="40"/>
        <v>32</v>
      </c>
      <c r="J303" s="177"/>
      <c r="K303" s="177"/>
      <c r="L303" s="177"/>
      <c r="M303" s="288">
        <f>IF(G303&gt;$G$264,"",(SUM(O$269)-SUM(O$271:O302))*(M$269/12))</f>
        <v>627.89725807716263</v>
      </c>
      <c r="N303" s="288"/>
      <c r="O303" s="408">
        <f t="shared" si="39"/>
        <v>258.80203411812863</v>
      </c>
      <c r="P303" s="148"/>
      <c r="Q303" s="177"/>
      <c r="R303" s="177"/>
      <c r="S303" s="177"/>
      <c r="T303" s="148"/>
      <c r="U303" s="148"/>
      <c r="V303" s="148"/>
      <c r="W303" s="148"/>
      <c r="X303" s="148"/>
      <c r="Y303" s="148"/>
      <c r="Z303" s="148"/>
      <c r="AA303" s="148"/>
      <c r="AB303" s="148"/>
      <c r="AC303" s="148"/>
      <c r="AD303" s="148"/>
      <c r="AE303" s="148"/>
      <c r="AF303" s="148"/>
      <c r="AG303" s="148"/>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c r="BI303" s="148"/>
      <c r="BJ303" s="148"/>
      <c r="BK303" s="148"/>
    </row>
    <row r="304" spans="1:63" hidden="1" x14ac:dyDescent="0.25">
      <c r="A304" s="19"/>
      <c r="D304" s="12"/>
      <c r="E304" s="138">
        <f t="shared" si="37"/>
        <v>42826</v>
      </c>
      <c r="F304" s="63">
        <f t="shared" si="36"/>
        <v>2017</v>
      </c>
      <c r="G304" s="124">
        <f t="shared" si="38"/>
        <v>3</v>
      </c>
      <c r="H304" s="19"/>
      <c r="I304" s="407">
        <f t="shared" si="40"/>
        <v>33</v>
      </c>
      <c r="J304" s="177"/>
      <c r="K304" s="177"/>
      <c r="L304" s="177"/>
      <c r="M304" s="288">
        <f>IF(G304&gt;$G$264,"",(SUM(O$269)-SUM(O$271:O303))*(M$269/12))</f>
        <v>626.92675044921975</v>
      </c>
      <c r="N304" s="288"/>
      <c r="O304" s="408">
        <f t="shared" si="39"/>
        <v>259.77254174607151</v>
      </c>
      <c r="P304" s="148"/>
      <c r="Q304" s="177"/>
      <c r="R304" s="177"/>
      <c r="S304" s="177"/>
      <c r="T304" s="148"/>
      <c r="U304" s="148"/>
      <c r="V304" s="148"/>
      <c r="W304" s="148"/>
      <c r="X304" s="148"/>
      <c r="Y304" s="148"/>
      <c r="Z304" s="148"/>
      <c r="AA304" s="148"/>
      <c r="AB304" s="148"/>
      <c r="AC304" s="148"/>
      <c r="AD304" s="148"/>
      <c r="AE304" s="148"/>
      <c r="AF304" s="148"/>
      <c r="AG304" s="148"/>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c r="BI304" s="148"/>
      <c r="BJ304" s="148"/>
      <c r="BK304" s="148"/>
    </row>
    <row r="305" spans="1:63" hidden="1" x14ac:dyDescent="0.25">
      <c r="A305" s="19"/>
      <c r="D305" s="12"/>
      <c r="E305" s="138">
        <f t="shared" si="37"/>
        <v>42856</v>
      </c>
      <c r="F305" s="63">
        <f t="shared" si="36"/>
        <v>2017</v>
      </c>
      <c r="G305" s="124">
        <f t="shared" si="38"/>
        <v>3</v>
      </c>
      <c r="H305" s="19"/>
      <c r="I305" s="407">
        <f t="shared" si="40"/>
        <v>34</v>
      </c>
      <c r="J305" s="177"/>
      <c r="K305" s="177"/>
      <c r="L305" s="177"/>
      <c r="M305" s="288">
        <f>IF(G305&gt;$G$264,"",(SUM(O$269)-SUM(O$271:O304))*(M$269/12))</f>
        <v>625.95260341767187</v>
      </c>
      <c r="N305" s="288"/>
      <c r="O305" s="408">
        <f t="shared" si="39"/>
        <v>260.7466887776194</v>
      </c>
      <c r="P305" s="148"/>
      <c r="Q305" s="177"/>
      <c r="R305" s="177"/>
      <c r="S305" s="177"/>
      <c r="T305" s="148"/>
      <c r="U305" s="148"/>
      <c r="V305" s="148"/>
      <c r="W305" s="148"/>
      <c r="X305" s="148"/>
      <c r="Y305" s="148"/>
      <c r="Z305" s="148"/>
      <c r="AA305" s="148"/>
      <c r="AB305" s="148"/>
      <c r="AC305" s="148"/>
      <c r="AD305" s="148"/>
      <c r="AE305" s="148"/>
      <c r="AF305" s="148"/>
      <c r="AG305" s="148"/>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c r="BI305" s="148"/>
      <c r="BJ305" s="148"/>
      <c r="BK305" s="148"/>
    </row>
    <row r="306" spans="1:63" hidden="1" x14ac:dyDescent="0.25">
      <c r="A306" s="19"/>
      <c r="D306" s="12"/>
      <c r="E306" s="138">
        <f t="shared" si="37"/>
        <v>42887</v>
      </c>
      <c r="F306" s="63">
        <f t="shared" si="36"/>
        <v>2017</v>
      </c>
      <c r="G306" s="124">
        <f t="shared" si="38"/>
        <v>3</v>
      </c>
      <c r="H306" s="19"/>
      <c r="I306" s="407">
        <f t="shared" si="40"/>
        <v>35</v>
      </c>
      <c r="J306" s="177"/>
      <c r="K306" s="177"/>
      <c r="L306" s="177"/>
      <c r="M306" s="288">
        <f>IF(G306&gt;$G$264,"",(SUM(O$269)-SUM(O$271:O305))*(M$269/12))</f>
        <v>624.97480333475585</v>
      </c>
      <c r="N306" s="288"/>
      <c r="O306" s="408">
        <f t="shared" si="39"/>
        <v>261.72448886053542</v>
      </c>
      <c r="P306" s="148"/>
      <c r="Q306" s="177"/>
      <c r="R306" s="177"/>
      <c r="S306" s="177"/>
      <c r="T306" s="148"/>
      <c r="U306" s="148"/>
      <c r="V306" s="148"/>
      <c r="W306" s="148"/>
      <c r="X306" s="148"/>
      <c r="Y306" s="148"/>
      <c r="Z306" s="148"/>
      <c r="AA306" s="148"/>
      <c r="AB306" s="148"/>
      <c r="AC306" s="148"/>
      <c r="AD306" s="148"/>
      <c r="AE306" s="148"/>
      <c r="AF306" s="148"/>
      <c r="AG306" s="148"/>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c r="BI306" s="148"/>
      <c r="BJ306" s="148"/>
      <c r="BK306" s="148"/>
    </row>
    <row r="307" spans="1:63" hidden="1" x14ac:dyDescent="0.25">
      <c r="A307" s="19"/>
      <c r="D307" s="12"/>
      <c r="E307" s="138">
        <f t="shared" si="37"/>
        <v>42917</v>
      </c>
      <c r="F307" s="63">
        <f t="shared" si="36"/>
        <v>2017</v>
      </c>
      <c r="G307" s="124">
        <f t="shared" si="38"/>
        <v>3</v>
      </c>
      <c r="H307" s="19"/>
      <c r="I307" s="407">
        <f t="shared" si="40"/>
        <v>36</v>
      </c>
      <c r="J307" s="177"/>
      <c r="K307" s="177"/>
      <c r="L307" s="177"/>
      <c r="M307" s="288">
        <f>IF(G307&gt;$G$264,"",(SUM(O$269)-SUM(O$271:O306))*(M$269/12))</f>
        <v>623.9933365015288</v>
      </c>
      <c r="N307" s="288"/>
      <c r="O307" s="408">
        <f t="shared" si="39"/>
        <v>262.70595569376246</v>
      </c>
      <c r="P307" s="148"/>
      <c r="Q307" s="177"/>
      <c r="R307" s="177"/>
      <c r="S307" s="177"/>
      <c r="T307" s="148"/>
      <c r="U307" s="148"/>
      <c r="V307" s="148"/>
      <c r="W307" s="148"/>
      <c r="X307" s="148"/>
      <c r="Y307" s="148"/>
      <c r="Z307" s="148"/>
      <c r="AA307" s="148"/>
      <c r="AB307" s="148"/>
      <c r="AC307" s="148"/>
      <c r="AD307" s="148"/>
      <c r="AE307" s="148"/>
      <c r="AF307" s="148"/>
      <c r="AG307" s="148"/>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c r="BI307" s="148"/>
      <c r="BJ307" s="148"/>
      <c r="BK307" s="148"/>
    </row>
    <row r="308" spans="1:63" hidden="1" x14ac:dyDescent="0.25">
      <c r="A308" s="19"/>
      <c r="D308" s="12"/>
      <c r="E308" s="138">
        <f t="shared" si="37"/>
        <v>42948</v>
      </c>
      <c r="F308" s="63">
        <f t="shared" si="36"/>
        <v>2017</v>
      </c>
      <c r="G308" s="124">
        <f t="shared" si="38"/>
        <v>4</v>
      </c>
      <c r="H308" s="19"/>
      <c r="I308" s="407">
        <f t="shared" si="40"/>
        <v>37</v>
      </c>
      <c r="J308" s="177"/>
      <c r="K308" s="177"/>
      <c r="L308" s="177"/>
      <c r="M308" s="288">
        <f>IF(G308&gt;$G$264,"",(SUM(O$269)-SUM(O$271:O307))*(M$269/12))</f>
        <v>623.00818916767719</v>
      </c>
      <c r="N308" s="288"/>
      <c r="O308" s="408">
        <f t="shared" si="39"/>
        <v>263.69110302761408</v>
      </c>
      <c r="P308" s="148"/>
      <c r="Q308" s="177"/>
      <c r="R308" s="177"/>
      <c r="S308" s="177"/>
      <c r="T308" s="148"/>
      <c r="U308" s="148"/>
      <c r="V308" s="148"/>
      <c r="W308" s="148"/>
      <c r="X308" s="148"/>
      <c r="Y308" s="148"/>
      <c r="Z308" s="148"/>
      <c r="AA308" s="148"/>
      <c r="AB308" s="148"/>
      <c r="AC308" s="148"/>
      <c r="AD308" s="148"/>
      <c r="AE308" s="148"/>
      <c r="AF308" s="148"/>
      <c r="AG308" s="148"/>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c r="BI308" s="148"/>
      <c r="BJ308" s="148"/>
      <c r="BK308" s="148"/>
    </row>
    <row r="309" spans="1:63" hidden="1" x14ac:dyDescent="0.25">
      <c r="A309" s="19"/>
      <c r="D309" s="12"/>
      <c r="E309" s="138">
        <f t="shared" si="37"/>
        <v>42979</v>
      </c>
      <c r="F309" s="63">
        <f t="shared" si="36"/>
        <v>2017</v>
      </c>
      <c r="G309" s="124">
        <f t="shared" si="38"/>
        <v>4</v>
      </c>
      <c r="H309" s="19"/>
      <c r="I309" s="407">
        <f t="shared" si="40"/>
        <v>38</v>
      </c>
      <c r="J309" s="177"/>
      <c r="K309" s="177"/>
      <c r="L309" s="177"/>
      <c r="M309" s="288">
        <f>IF(G309&gt;$G$264,"",(SUM(O$269)-SUM(O$271:O308))*(M$269/12))</f>
        <v>622.01934753132366</v>
      </c>
      <c r="N309" s="288"/>
      <c r="O309" s="408">
        <f t="shared" si="39"/>
        <v>264.6799446639676</v>
      </c>
      <c r="P309" s="148"/>
      <c r="Q309" s="177"/>
      <c r="R309" s="177"/>
      <c r="S309" s="177"/>
      <c r="T309" s="148"/>
      <c r="U309" s="148"/>
      <c r="V309" s="148"/>
      <c r="W309" s="148"/>
      <c r="X309" s="148"/>
      <c r="Y309" s="148"/>
      <c r="Z309" s="148"/>
      <c r="AA309" s="148"/>
      <c r="AB309" s="148"/>
      <c r="AC309" s="148"/>
      <c r="AD309" s="148"/>
      <c r="AE309" s="148"/>
      <c r="AF309" s="148"/>
      <c r="AG309" s="148"/>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c r="BI309" s="148"/>
      <c r="BJ309" s="148"/>
      <c r="BK309" s="148"/>
    </row>
    <row r="310" spans="1:63" hidden="1" x14ac:dyDescent="0.25">
      <c r="A310" s="19"/>
      <c r="D310" s="12"/>
      <c r="E310" s="138">
        <f t="shared" si="37"/>
        <v>43009</v>
      </c>
      <c r="F310" s="63">
        <f t="shared" si="36"/>
        <v>2017</v>
      </c>
      <c r="G310" s="124">
        <f t="shared" si="38"/>
        <v>4</v>
      </c>
      <c r="H310" s="19"/>
      <c r="I310" s="407">
        <f t="shared" si="40"/>
        <v>39</v>
      </c>
      <c r="J310" s="177"/>
      <c r="K310" s="177"/>
      <c r="L310" s="177"/>
      <c r="M310" s="288">
        <f>IF(G310&gt;$G$264,"",(SUM(O$269)-SUM(O$271:O309))*(M$269/12))</f>
        <v>621.02679773883381</v>
      </c>
      <c r="N310" s="288"/>
      <c r="O310" s="408">
        <f t="shared" si="39"/>
        <v>265.67249445645746</v>
      </c>
      <c r="P310" s="148"/>
      <c r="Q310" s="177"/>
      <c r="R310" s="177"/>
      <c r="S310" s="177"/>
      <c r="T310" s="148"/>
      <c r="U310" s="148"/>
      <c r="V310" s="148"/>
      <c r="W310" s="148"/>
      <c r="X310" s="148"/>
      <c r="Y310" s="148"/>
      <c r="Z310" s="148"/>
      <c r="AA310" s="148"/>
      <c r="AB310" s="148"/>
      <c r="AC310" s="148"/>
      <c r="AD310" s="148"/>
      <c r="AE310" s="148"/>
      <c r="AF310" s="148"/>
      <c r="AG310" s="148"/>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c r="BI310" s="148"/>
      <c r="BJ310" s="148"/>
      <c r="BK310" s="148"/>
    </row>
    <row r="311" spans="1:63" hidden="1" x14ac:dyDescent="0.25">
      <c r="A311" s="19"/>
      <c r="D311" s="12"/>
      <c r="E311" s="138">
        <f t="shared" si="37"/>
        <v>43040</v>
      </c>
      <c r="F311" s="63">
        <f t="shared" si="36"/>
        <v>2017</v>
      </c>
      <c r="G311" s="124">
        <f t="shared" si="38"/>
        <v>4</v>
      </c>
      <c r="H311" s="19"/>
      <c r="I311" s="407">
        <f t="shared" si="40"/>
        <v>40</v>
      </c>
      <c r="J311" s="177"/>
      <c r="K311" s="177"/>
      <c r="L311" s="177"/>
      <c r="M311" s="288">
        <f>IF(G311&gt;$G$264,"",(SUM(O$269)-SUM(O$271:O310))*(M$269/12))</f>
        <v>620.03052588462208</v>
      </c>
      <c r="N311" s="288"/>
      <c r="O311" s="408">
        <f t="shared" si="39"/>
        <v>266.66876631066918</v>
      </c>
      <c r="P311" s="148"/>
      <c r="Q311" s="177"/>
      <c r="R311" s="177"/>
      <c r="S311" s="177"/>
      <c r="T311" s="148"/>
      <c r="U311" s="148"/>
      <c r="V311" s="148"/>
      <c r="W311" s="148"/>
      <c r="X311" s="148"/>
      <c r="Y311" s="148"/>
      <c r="Z311" s="148"/>
      <c r="AA311" s="148"/>
      <c r="AB311" s="148"/>
      <c r="AC311" s="148"/>
      <c r="AD311" s="148"/>
      <c r="AE311" s="148"/>
      <c r="AF311" s="148"/>
      <c r="AG311" s="148"/>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c r="BI311" s="148"/>
      <c r="BJ311" s="148"/>
      <c r="BK311" s="148"/>
    </row>
    <row r="312" spans="1:63" hidden="1" x14ac:dyDescent="0.25">
      <c r="A312" s="19"/>
      <c r="D312" s="12"/>
      <c r="E312" s="138">
        <f t="shared" si="37"/>
        <v>43070</v>
      </c>
      <c r="F312" s="63">
        <f t="shared" si="36"/>
        <v>2017</v>
      </c>
      <c r="G312" s="124">
        <f t="shared" si="38"/>
        <v>4</v>
      </c>
      <c r="H312" s="19"/>
      <c r="I312" s="407">
        <f t="shared" si="40"/>
        <v>41</v>
      </c>
      <c r="J312" s="177"/>
      <c r="K312" s="177"/>
      <c r="L312" s="177"/>
      <c r="M312" s="288">
        <f>IF(G312&gt;$G$264,"",(SUM(O$269)-SUM(O$271:O311))*(M$269/12))</f>
        <v>619.03051801095705</v>
      </c>
      <c r="N312" s="288"/>
      <c r="O312" s="408">
        <f t="shared" si="39"/>
        <v>267.66877418433421</v>
      </c>
      <c r="P312" s="148"/>
      <c r="Q312" s="177"/>
      <c r="R312" s="177"/>
      <c r="S312" s="177"/>
      <c r="T312" s="148"/>
      <c r="U312" s="148"/>
      <c r="V312" s="148"/>
      <c r="W312" s="148"/>
      <c r="X312" s="148"/>
      <c r="Y312" s="148"/>
      <c r="Z312" s="148"/>
      <c r="AA312" s="148"/>
      <c r="AB312" s="148"/>
      <c r="AC312" s="148"/>
      <c r="AD312" s="148"/>
      <c r="AE312" s="148"/>
      <c r="AF312" s="148"/>
      <c r="AG312" s="148"/>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c r="BI312" s="148"/>
      <c r="BJ312" s="148"/>
      <c r="BK312" s="148"/>
    </row>
    <row r="313" spans="1:63" hidden="1" x14ac:dyDescent="0.25">
      <c r="A313" s="19"/>
      <c r="D313" s="12"/>
      <c r="E313" s="138">
        <f t="shared" si="37"/>
        <v>43101</v>
      </c>
      <c r="F313" s="63">
        <f t="shared" si="36"/>
        <v>2018</v>
      </c>
      <c r="G313" s="124">
        <f t="shared" si="38"/>
        <v>4</v>
      </c>
      <c r="H313" s="19"/>
      <c r="I313" s="407">
        <f t="shared" si="40"/>
        <v>42</v>
      </c>
      <c r="J313" s="177"/>
      <c r="K313" s="177"/>
      <c r="L313" s="177"/>
      <c r="M313" s="288">
        <f>IF(G313&gt;$G$264,"",(SUM(O$269)-SUM(O$271:O312))*(M$269/12))</f>
        <v>618.02676010776577</v>
      </c>
      <c r="N313" s="288"/>
      <c r="O313" s="408">
        <f t="shared" si="39"/>
        <v>268.6725320875255</v>
      </c>
      <c r="P313" s="148"/>
      <c r="Q313" s="177"/>
      <c r="R313" s="177"/>
      <c r="S313" s="177"/>
      <c r="T313" s="148"/>
      <c r="U313" s="148"/>
      <c r="V313" s="148"/>
      <c r="W313" s="148"/>
      <c r="X313" s="148"/>
      <c r="Y313" s="148"/>
      <c r="Z313" s="148"/>
      <c r="AA313" s="148"/>
      <c r="AB313" s="148"/>
      <c r="AC313" s="148"/>
      <c r="AD313" s="148"/>
      <c r="AE313" s="148"/>
      <c r="AF313" s="148"/>
      <c r="AG313" s="148"/>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c r="BI313" s="148"/>
      <c r="BJ313" s="148"/>
      <c r="BK313" s="148"/>
    </row>
    <row r="314" spans="1:63" hidden="1" x14ac:dyDescent="0.25">
      <c r="A314" s="19"/>
      <c r="D314" s="12"/>
      <c r="E314" s="138">
        <f t="shared" si="37"/>
        <v>43132</v>
      </c>
      <c r="F314" s="63">
        <f t="shared" si="36"/>
        <v>2018</v>
      </c>
      <c r="G314" s="124">
        <f t="shared" si="38"/>
        <v>4</v>
      </c>
      <c r="H314" s="19"/>
      <c r="I314" s="407">
        <f t="shared" si="40"/>
        <v>43</v>
      </c>
      <c r="J314" s="177"/>
      <c r="K314" s="177"/>
      <c r="L314" s="177"/>
      <c r="M314" s="288">
        <f>IF(G314&gt;$G$264,"",(SUM(O$269)-SUM(O$271:O313))*(M$269/12))</f>
        <v>617.01923811243751</v>
      </c>
      <c r="N314" s="288"/>
      <c r="O314" s="408">
        <f t="shared" si="39"/>
        <v>269.68005408285376</v>
      </c>
      <c r="P314" s="148"/>
      <c r="Q314" s="177"/>
      <c r="R314" s="177"/>
      <c r="S314" s="177"/>
      <c r="T314" s="148"/>
      <c r="U314" s="148"/>
      <c r="V314" s="148"/>
      <c r="W314" s="148"/>
      <c r="X314" s="148"/>
      <c r="Y314" s="148"/>
      <c r="Z314" s="148"/>
      <c r="AA314" s="148"/>
      <c r="AB314" s="148"/>
      <c r="AC314" s="148"/>
      <c r="AD314" s="148"/>
      <c r="AE314" s="148"/>
      <c r="AF314" s="148"/>
      <c r="AG314" s="148"/>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c r="BI314" s="148"/>
      <c r="BJ314" s="148"/>
      <c r="BK314" s="148"/>
    </row>
    <row r="315" spans="1:63" hidden="1" x14ac:dyDescent="0.25">
      <c r="A315" s="19"/>
      <c r="D315" s="12"/>
      <c r="E315" s="138">
        <f t="shared" si="37"/>
        <v>43160</v>
      </c>
      <c r="F315" s="63">
        <f t="shared" si="36"/>
        <v>2018</v>
      </c>
      <c r="G315" s="124">
        <f t="shared" si="38"/>
        <v>4</v>
      </c>
      <c r="H315" s="19"/>
      <c r="I315" s="407">
        <f t="shared" si="40"/>
        <v>44</v>
      </c>
      <c r="J315" s="177"/>
      <c r="K315" s="177"/>
      <c r="L315" s="177"/>
      <c r="M315" s="288">
        <f>IF(G315&gt;$G$264,"",(SUM(O$269)-SUM(O$271:O314))*(M$269/12))</f>
        <v>616.00793790962678</v>
      </c>
      <c r="N315" s="288"/>
      <c r="O315" s="408">
        <f t="shared" si="39"/>
        <v>270.69135428566449</v>
      </c>
      <c r="P315" s="148"/>
      <c r="Q315" s="177"/>
      <c r="R315" s="177"/>
      <c r="S315" s="177"/>
      <c r="T315" s="148"/>
      <c r="U315" s="148"/>
      <c r="V315" s="148"/>
      <c r="W315" s="148"/>
      <c r="X315" s="148"/>
      <c r="Y315" s="148"/>
      <c r="Z315" s="148"/>
      <c r="AA315" s="148"/>
      <c r="AB315" s="148"/>
      <c r="AC315" s="148"/>
      <c r="AD315" s="148"/>
      <c r="AE315" s="148"/>
      <c r="AF315" s="148"/>
      <c r="AG315" s="148"/>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c r="BI315" s="148"/>
      <c r="BJ315" s="148"/>
      <c r="BK315" s="148"/>
    </row>
    <row r="316" spans="1:63" hidden="1" x14ac:dyDescent="0.25">
      <c r="A316" s="19"/>
      <c r="D316" s="12"/>
      <c r="E316" s="138">
        <f t="shared" si="37"/>
        <v>43191</v>
      </c>
      <c r="F316" s="63">
        <f t="shared" si="36"/>
        <v>2018</v>
      </c>
      <c r="G316" s="124">
        <f t="shared" si="38"/>
        <v>4</v>
      </c>
      <c r="H316" s="19"/>
      <c r="I316" s="407">
        <f t="shared" si="40"/>
        <v>45</v>
      </c>
      <c r="J316" s="177"/>
      <c r="K316" s="177"/>
      <c r="L316" s="177"/>
      <c r="M316" s="288">
        <f>IF(G316&gt;$G$264,"",(SUM(O$269)-SUM(O$271:O315))*(M$269/12))</f>
        <v>614.99284533105572</v>
      </c>
      <c r="N316" s="288"/>
      <c r="O316" s="408">
        <f t="shared" si="39"/>
        <v>271.70644686423555</v>
      </c>
      <c r="P316" s="148"/>
      <c r="Q316" s="177"/>
      <c r="R316" s="177"/>
      <c r="S316" s="177"/>
      <c r="T316" s="148"/>
      <c r="U316" s="148"/>
      <c r="V316" s="148"/>
      <c r="W316" s="148"/>
      <c r="X316" s="148"/>
      <c r="Y316" s="148"/>
      <c r="Z316" s="148"/>
      <c r="AA316" s="148"/>
      <c r="AB316" s="148"/>
      <c r="AC316" s="148"/>
      <c r="AD316" s="148"/>
      <c r="AE316" s="148"/>
      <c r="AF316" s="148"/>
      <c r="AG316" s="148"/>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c r="BI316" s="148"/>
      <c r="BJ316" s="148"/>
      <c r="BK316" s="148"/>
    </row>
    <row r="317" spans="1:63" hidden="1" x14ac:dyDescent="0.25">
      <c r="A317" s="19"/>
      <c r="D317" s="12"/>
      <c r="E317" s="138">
        <f t="shared" si="37"/>
        <v>43221</v>
      </c>
      <c r="F317" s="63">
        <f t="shared" si="36"/>
        <v>2018</v>
      </c>
      <c r="G317" s="124">
        <f t="shared" si="38"/>
        <v>4</v>
      </c>
      <c r="H317" s="19"/>
      <c r="I317" s="407">
        <f t="shared" si="40"/>
        <v>46</v>
      </c>
      <c r="J317" s="177"/>
      <c r="K317" s="177"/>
      <c r="L317" s="177"/>
      <c r="M317" s="288">
        <f>IF(G317&gt;$G$264,"",(SUM(O$269)-SUM(O$271:O316))*(M$269/12))</f>
        <v>613.97394615531482</v>
      </c>
      <c r="N317" s="288"/>
      <c r="O317" s="408">
        <f t="shared" si="39"/>
        <v>272.72534603997644</v>
      </c>
      <c r="P317" s="148"/>
      <c r="Q317" s="177"/>
      <c r="R317" s="177"/>
      <c r="S317" s="177"/>
      <c r="T317" s="148"/>
      <c r="U317" s="148"/>
      <c r="V317" s="148"/>
      <c r="W317" s="148"/>
      <c r="X317" s="148"/>
      <c r="Y317" s="148"/>
      <c r="Z317" s="148"/>
      <c r="AA317" s="148"/>
      <c r="AB317" s="148"/>
      <c r="AC317" s="148"/>
      <c r="AD317" s="148"/>
      <c r="AE317" s="148"/>
      <c r="AF317" s="148"/>
      <c r="AG317" s="148"/>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c r="BI317" s="148"/>
      <c r="BJ317" s="148"/>
      <c r="BK317" s="148"/>
    </row>
    <row r="318" spans="1:63" hidden="1" x14ac:dyDescent="0.25">
      <c r="A318" s="19"/>
      <c r="D318" s="12"/>
      <c r="E318" s="138">
        <f t="shared" si="37"/>
        <v>43252</v>
      </c>
      <c r="F318" s="63">
        <f t="shared" si="36"/>
        <v>2018</v>
      </c>
      <c r="G318" s="124">
        <f t="shared" si="38"/>
        <v>4</v>
      </c>
      <c r="H318" s="19"/>
      <c r="I318" s="407">
        <f t="shared" si="40"/>
        <v>47</v>
      </c>
      <c r="J318" s="177"/>
      <c r="K318" s="177"/>
      <c r="L318" s="177"/>
      <c r="M318" s="288">
        <f>IF(G318&gt;$G$264,"",(SUM(O$269)-SUM(O$271:O317))*(M$269/12))</f>
        <v>612.95122610766487</v>
      </c>
      <c r="N318" s="288"/>
      <c r="O318" s="408">
        <f t="shared" si="39"/>
        <v>273.7480660876264</v>
      </c>
      <c r="P318" s="148"/>
      <c r="Q318" s="177"/>
      <c r="R318" s="177"/>
      <c r="S318" s="177"/>
      <c r="T318" s="148"/>
      <c r="U318" s="148"/>
      <c r="V318" s="148"/>
      <c r="W318" s="148"/>
      <c r="X318" s="148"/>
      <c r="Y318" s="148"/>
      <c r="Z318" s="148"/>
      <c r="AA318" s="148"/>
      <c r="AB318" s="148"/>
      <c r="AC318" s="148"/>
      <c r="AD318" s="148"/>
      <c r="AE318" s="148"/>
      <c r="AF318" s="148"/>
      <c r="AG318" s="148"/>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c r="BI318" s="148"/>
      <c r="BJ318" s="148"/>
      <c r="BK318" s="148"/>
    </row>
    <row r="319" spans="1:63" hidden="1" x14ac:dyDescent="0.25">
      <c r="A319" s="19"/>
      <c r="D319" s="12"/>
      <c r="E319" s="138">
        <f t="shared" si="37"/>
        <v>43282</v>
      </c>
      <c r="F319" s="63">
        <f t="shared" si="36"/>
        <v>2018</v>
      </c>
      <c r="G319" s="124">
        <f t="shared" si="38"/>
        <v>4</v>
      </c>
      <c r="H319" s="19"/>
      <c r="I319" s="407">
        <f t="shared" si="40"/>
        <v>48</v>
      </c>
      <c r="J319" s="177"/>
      <c r="K319" s="177"/>
      <c r="L319" s="177"/>
      <c r="M319" s="288">
        <f>IF(G319&gt;$G$264,"",(SUM(O$269)-SUM(O$271:O318))*(M$269/12))</f>
        <v>611.92467085983628</v>
      </c>
      <c r="N319" s="288"/>
      <c r="O319" s="408">
        <f t="shared" si="39"/>
        <v>274.77462133545498</v>
      </c>
      <c r="P319" s="148"/>
      <c r="Q319" s="177"/>
      <c r="R319" s="177"/>
      <c r="S319" s="177"/>
      <c r="T319" s="148"/>
      <c r="U319" s="148"/>
      <c r="V319" s="148"/>
      <c r="W319" s="148"/>
      <c r="X319" s="148"/>
      <c r="Y319" s="148"/>
      <c r="Z319" s="148"/>
      <c r="AA319" s="148"/>
      <c r="AB319" s="148"/>
      <c r="AC319" s="148"/>
      <c r="AD319" s="148"/>
      <c r="AE319" s="148"/>
      <c r="AF319" s="148"/>
      <c r="AG319" s="148"/>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c r="BI319" s="148"/>
      <c r="BJ319" s="148"/>
      <c r="BK319" s="148"/>
    </row>
    <row r="320" spans="1:63" hidden="1" x14ac:dyDescent="0.25">
      <c r="A320" s="19"/>
      <c r="D320" s="12"/>
      <c r="E320" s="138">
        <f t="shared" si="37"/>
        <v>43313</v>
      </c>
      <c r="F320" s="63">
        <f t="shared" si="36"/>
        <v>2018</v>
      </c>
      <c r="G320" s="124">
        <f t="shared" si="38"/>
        <v>5</v>
      </c>
      <c r="H320" s="19"/>
      <c r="I320" s="407">
        <f t="shared" si="40"/>
        <v>49</v>
      </c>
      <c r="J320" s="177"/>
      <c r="K320" s="177"/>
      <c r="L320" s="177"/>
      <c r="M320" s="288">
        <f>IF(G320&gt;$G$264,"",(SUM(O$269)-SUM(O$271:O319))*(M$269/12))</f>
        <v>610.89426602982826</v>
      </c>
      <c r="N320" s="288"/>
      <c r="O320" s="408">
        <f t="shared" si="39"/>
        <v>275.805026165463</v>
      </c>
      <c r="P320" s="148"/>
      <c r="Q320" s="177"/>
      <c r="R320" s="177"/>
      <c r="S320" s="177"/>
      <c r="T320" s="148"/>
      <c r="U320" s="148"/>
      <c r="V320" s="148"/>
      <c r="W320" s="148"/>
      <c r="X320" s="148"/>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48"/>
    </row>
    <row r="321" spans="1:63" hidden="1" x14ac:dyDescent="0.25">
      <c r="A321" s="19"/>
      <c r="D321" s="12"/>
      <c r="E321" s="138">
        <f t="shared" si="37"/>
        <v>43344</v>
      </c>
      <c r="F321" s="63">
        <f t="shared" si="36"/>
        <v>2018</v>
      </c>
      <c r="G321" s="124">
        <f t="shared" si="38"/>
        <v>5</v>
      </c>
      <c r="H321" s="19"/>
      <c r="I321" s="407">
        <f t="shared" si="40"/>
        <v>50</v>
      </c>
      <c r="J321" s="177"/>
      <c r="K321" s="177"/>
      <c r="L321" s="177"/>
      <c r="M321" s="288">
        <f>IF(G321&gt;$G$264,"",(SUM(O$269)-SUM(O$271:O320))*(M$269/12))</f>
        <v>609.85999718170785</v>
      </c>
      <c r="N321" s="288"/>
      <c r="O321" s="408">
        <f t="shared" si="39"/>
        <v>276.83929501358341</v>
      </c>
      <c r="P321" s="148"/>
      <c r="Q321" s="177"/>
      <c r="R321" s="177"/>
      <c r="S321" s="177"/>
      <c r="T321" s="148"/>
      <c r="U321" s="148"/>
      <c r="V321" s="148"/>
      <c r="W321" s="148"/>
      <c r="X321" s="148"/>
      <c r="Y321" s="148"/>
      <c r="Z321" s="148"/>
      <c r="AA321" s="148"/>
      <c r="AB321" s="148"/>
      <c r="AC321" s="148"/>
      <c r="AD321" s="148"/>
      <c r="AE321" s="148"/>
      <c r="AF321" s="148"/>
      <c r="AG321" s="148"/>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c r="BI321" s="148"/>
      <c r="BJ321" s="148"/>
      <c r="BK321" s="148"/>
    </row>
    <row r="322" spans="1:63" hidden="1" x14ac:dyDescent="0.25">
      <c r="A322" s="19"/>
      <c r="D322" s="12"/>
      <c r="E322" s="138">
        <f t="shared" si="37"/>
        <v>43374</v>
      </c>
      <c r="F322" s="63">
        <f t="shared" si="36"/>
        <v>2018</v>
      </c>
      <c r="G322" s="124">
        <f t="shared" si="38"/>
        <v>5</v>
      </c>
      <c r="H322" s="19"/>
      <c r="I322" s="407">
        <f t="shared" si="40"/>
        <v>51</v>
      </c>
      <c r="J322" s="177"/>
      <c r="K322" s="177"/>
      <c r="L322" s="177"/>
      <c r="M322" s="288">
        <f>IF(G322&gt;$G$264,"",(SUM(O$269)-SUM(O$271:O321))*(M$269/12))</f>
        <v>608.82184982540684</v>
      </c>
      <c r="N322" s="288"/>
      <c r="O322" s="408">
        <f t="shared" si="39"/>
        <v>277.87744236988442</v>
      </c>
      <c r="P322" s="148"/>
      <c r="Q322" s="177"/>
      <c r="R322" s="177"/>
      <c r="S322" s="177"/>
      <c r="T322" s="148"/>
      <c r="U322" s="148"/>
      <c r="V322" s="148"/>
      <c r="W322" s="148"/>
      <c r="X322" s="148"/>
      <c r="Y322" s="148"/>
      <c r="Z322" s="148"/>
      <c r="AA322" s="148"/>
      <c r="AB322" s="148"/>
      <c r="AC322" s="148"/>
      <c r="AD322" s="148"/>
      <c r="AE322" s="148"/>
      <c r="AF322" s="148"/>
      <c r="AG322" s="148"/>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c r="BI322" s="148"/>
      <c r="BJ322" s="148"/>
      <c r="BK322" s="148"/>
    </row>
    <row r="323" spans="1:63" hidden="1" x14ac:dyDescent="0.25">
      <c r="A323" s="19"/>
      <c r="D323" s="12"/>
      <c r="E323" s="138">
        <f t="shared" si="37"/>
        <v>43405</v>
      </c>
      <c r="F323" s="63">
        <f t="shared" si="36"/>
        <v>2018</v>
      </c>
      <c r="G323" s="124">
        <f t="shared" si="38"/>
        <v>5</v>
      </c>
      <c r="H323" s="19"/>
      <c r="I323" s="407">
        <f t="shared" si="40"/>
        <v>52</v>
      </c>
      <c r="J323" s="177"/>
      <c r="K323" s="177"/>
      <c r="L323" s="177"/>
      <c r="M323" s="288">
        <f>IF(G323&gt;$G$264,"",(SUM(O$269)-SUM(O$271:O322))*(M$269/12))</f>
        <v>607.77980941651981</v>
      </c>
      <c r="N323" s="288"/>
      <c r="O323" s="408">
        <f t="shared" si="39"/>
        <v>278.91948277877145</v>
      </c>
      <c r="P323" s="148"/>
      <c r="Q323" s="177"/>
      <c r="R323" s="177"/>
      <c r="S323" s="177"/>
      <c r="T323" s="148"/>
      <c r="U323" s="148"/>
      <c r="V323" s="148"/>
      <c r="W323" s="148"/>
      <c r="X323" s="148"/>
      <c r="Y323" s="148"/>
      <c r="Z323" s="148"/>
      <c r="AA323" s="148"/>
      <c r="AB323" s="148"/>
      <c r="AC323" s="148"/>
      <c r="AD323" s="148"/>
      <c r="AE323" s="148"/>
      <c r="AF323" s="148"/>
      <c r="AG323" s="148"/>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c r="BI323" s="148"/>
      <c r="BJ323" s="148"/>
      <c r="BK323" s="148"/>
    </row>
    <row r="324" spans="1:63" hidden="1" x14ac:dyDescent="0.25">
      <c r="A324" s="19"/>
      <c r="D324" s="12"/>
      <c r="E324" s="138">
        <f t="shared" si="37"/>
        <v>43435</v>
      </c>
      <c r="F324" s="63">
        <f t="shared" si="36"/>
        <v>2018</v>
      </c>
      <c r="G324" s="124">
        <f t="shared" si="38"/>
        <v>5</v>
      </c>
      <c r="H324" s="19"/>
      <c r="I324" s="407">
        <f t="shared" si="40"/>
        <v>53</v>
      </c>
      <c r="J324" s="177"/>
      <c r="K324" s="177"/>
      <c r="L324" s="177"/>
      <c r="M324" s="288">
        <f>IF(G324&gt;$G$264,"",(SUM(O$269)-SUM(O$271:O323))*(M$269/12))</f>
        <v>606.73386135609951</v>
      </c>
      <c r="N324" s="288"/>
      <c r="O324" s="408">
        <f t="shared" si="39"/>
        <v>279.96543083919175</v>
      </c>
      <c r="P324" s="148"/>
      <c r="Q324" s="177"/>
      <c r="R324" s="177"/>
      <c r="S324" s="177"/>
      <c r="T324" s="148"/>
      <c r="U324" s="148"/>
      <c r="V324" s="148"/>
      <c r="W324" s="148"/>
      <c r="X324" s="148"/>
      <c r="Y324" s="148"/>
      <c r="Z324" s="148"/>
      <c r="AA324" s="148"/>
      <c r="AB324" s="148"/>
      <c r="AC324" s="148"/>
      <c r="AD324" s="148"/>
      <c r="AE324" s="148"/>
      <c r="AF324" s="148"/>
      <c r="AG324" s="148"/>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c r="BI324" s="148"/>
      <c r="BJ324" s="148"/>
      <c r="BK324" s="148"/>
    </row>
    <row r="325" spans="1:63" hidden="1" x14ac:dyDescent="0.25">
      <c r="A325" s="19"/>
      <c r="D325" s="12"/>
      <c r="E325" s="138">
        <f t="shared" si="37"/>
        <v>43466</v>
      </c>
      <c r="F325" s="63">
        <f t="shared" si="36"/>
        <v>2019</v>
      </c>
      <c r="G325" s="124">
        <f t="shared" si="38"/>
        <v>5</v>
      </c>
      <c r="H325" s="19"/>
      <c r="I325" s="407">
        <f t="shared" si="40"/>
        <v>54</v>
      </c>
      <c r="J325" s="177"/>
      <c r="K325" s="177"/>
      <c r="L325" s="177"/>
      <c r="M325" s="288">
        <f>IF(G325&gt;$G$264,"",(SUM(O$269)-SUM(O$271:O324))*(M$269/12))</f>
        <v>605.68399099045246</v>
      </c>
      <c r="N325" s="288"/>
      <c r="O325" s="408">
        <f t="shared" si="39"/>
        <v>281.01530120483881</v>
      </c>
      <c r="P325" s="148"/>
      <c r="Q325" s="177"/>
      <c r="R325" s="177"/>
      <c r="S325" s="177"/>
      <c r="T325" s="148"/>
      <c r="U325" s="148"/>
      <c r="V325" s="148"/>
      <c r="W325" s="148"/>
      <c r="X325" s="148"/>
      <c r="Y325" s="148"/>
      <c r="Z325" s="148"/>
      <c r="AA325" s="148"/>
      <c r="AB325" s="148"/>
      <c r="AC325" s="148"/>
      <c r="AD325" s="148"/>
      <c r="AE325" s="148"/>
      <c r="AF325" s="148"/>
      <c r="AG325" s="148"/>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c r="BI325" s="148"/>
      <c r="BJ325" s="148"/>
      <c r="BK325" s="148"/>
    </row>
    <row r="326" spans="1:63" hidden="1" x14ac:dyDescent="0.25">
      <c r="A326" s="19"/>
      <c r="D326" s="12"/>
      <c r="E326" s="138">
        <f t="shared" si="37"/>
        <v>43497</v>
      </c>
      <c r="F326" s="63">
        <f t="shared" si="36"/>
        <v>2019</v>
      </c>
      <c r="G326" s="124">
        <f t="shared" si="38"/>
        <v>5</v>
      </c>
      <c r="H326" s="19"/>
      <c r="I326" s="407">
        <f t="shared" si="40"/>
        <v>55</v>
      </c>
      <c r="J326" s="177"/>
      <c r="K326" s="177"/>
      <c r="L326" s="177"/>
      <c r="M326" s="288">
        <f>IF(G326&gt;$G$264,"",(SUM(O$269)-SUM(O$271:O325))*(M$269/12))</f>
        <v>604.6301836109343</v>
      </c>
      <c r="N326" s="288"/>
      <c r="O326" s="408">
        <f t="shared" si="39"/>
        <v>282.06910858435697</v>
      </c>
      <c r="P326" s="148"/>
      <c r="Q326" s="177"/>
      <c r="R326" s="177"/>
      <c r="S326" s="177"/>
      <c r="T326" s="148"/>
      <c r="U326" s="148"/>
      <c r="V326" s="148"/>
      <c r="W326" s="148"/>
      <c r="X326" s="148"/>
      <c r="Y326" s="148"/>
      <c r="Z326" s="148"/>
      <c r="AA326" s="148"/>
      <c r="AB326" s="148"/>
      <c r="AC326" s="148"/>
      <c r="AD326" s="148"/>
      <c r="AE326" s="148"/>
      <c r="AF326" s="148"/>
      <c r="AG326" s="148"/>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c r="BI326" s="148"/>
      <c r="BJ326" s="148"/>
      <c r="BK326" s="148"/>
    </row>
    <row r="327" spans="1:63" hidden="1" x14ac:dyDescent="0.25">
      <c r="A327" s="19"/>
      <c r="D327" s="12"/>
      <c r="E327" s="138">
        <f t="shared" si="37"/>
        <v>43525</v>
      </c>
      <c r="F327" s="63">
        <f t="shared" si="36"/>
        <v>2019</v>
      </c>
      <c r="G327" s="124">
        <f t="shared" si="38"/>
        <v>5</v>
      </c>
      <c r="H327" s="19"/>
      <c r="I327" s="407">
        <f t="shared" si="40"/>
        <v>56</v>
      </c>
      <c r="J327" s="177"/>
      <c r="K327" s="177"/>
      <c r="L327" s="177"/>
      <c r="M327" s="288">
        <f>IF(G327&gt;$G$264,"",(SUM(O$269)-SUM(O$271:O326))*(M$269/12))</f>
        <v>603.572424453743</v>
      </c>
      <c r="N327" s="288"/>
      <c r="O327" s="408">
        <f t="shared" si="39"/>
        <v>283.12686774154827</v>
      </c>
      <c r="P327" s="148"/>
      <c r="Q327" s="177"/>
      <c r="R327" s="177"/>
      <c r="S327" s="177"/>
      <c r="T327" s="148"/>
      <c r="U327" s="148"/>
      <c r="V327" s="148"/>
      <c r="W327" s="148"/>
      <c r="X327" s="148"/>
      <c r="Y327" s="148"/>
      <c r="Z327" s="148"/>
      <c r="AA327" s="148"/>
      <c r="AB327" s="148"/>
      <c r="AC327" s="148"/>
      <c r="AD327" s="148"/>
      <c r="AE327" s="148"/>
      <c r="AF327" s="148"/>
      <c r="AG327" s="148"/>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c r="BI327" s="148"/>
      <c r="BJ327" s="148"/>
      <c r="BK327" s="148"/>
    </row>
    <row r="328" spans="1:63" hidden="1" x14ac:dyDescent="0.25">
      <c r="A328" s="19"/>
      <c r="D328" s="12"/>
      <c r="E328" s="138">
        <f t="shared" si="37"/>
        <v>43556</v>
      </c>
      <c r="F328" s="63">
        <f t="shared" si="36"/>
        <v>2019</v>
      </c>
      <c r="G328" s="124">
        <f t="shared" si="38"/>
        <v>5</v>
      </c>
      <c r="H328" s="19"/>
      <c r="I328" s="407">
        <f t="shared" si="40"/>
        <v>57</v>
      </c>
      <c r="J328" s="177"/>
      <c r="K328" s="177"/>
      <c r="L328" s="177"/>
      <c r="M328" s="288">
        <f>IF(G328&gt;$G$264,"",(SUM(O$269)-SUM(O$271:O327))*(M$269/12))</f>
        <v>602.51069869971218</v>
      </c>
      <c r="N328" s="288"/>
      <c r="O328" s="408">
        <f t="shared" si="39"/>
        <v>284.18859349557908</v>
      </c>
      <c r="P328" s="148"/>
      <c r="Q328" s="177"/>
      <c r="R328" s="177"/>
      <c r="S328" s="177"/>
      <c r="T328" s="148"/>
      <c r="U328" s="148"/>
      <c r="V328" s="148"/>
      <c r="W328" s="148"/>
      <c r="X328" s="148"/>
      <c r="Y328" s="148"/>
      <c r="Z328" s="148"/>
      <c r="AA328" s="148"/>
      <c r="AB328" s="148"/>
      <c r="AC328" s="148"/>
      <c r="AD328" s="148"/>
      <c r="AE328" s="148"/>
      <c r="AF328" s="148"/>
      <c r="AG328" s="148"/>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c r="BI328" s="148"/>
      <c r="BJ328" s="148"/>
      <c r="BK328" s="148"/>
    </row>
    <row r="329" spans="1:63" hidden="1" x14ac:dyDescent="0.25">
      <c r="A329" s="19"/>
      <c r="D329" s="12"/>
      <c r="E329" s="138">
        <f t="shared" si="37"/>
        <v>43586</v>
      </c>
      <c r="F329" s="63">
        <f t="shared" si="36"/>
        <v>2019</v>
      </c>
      <c r="G329" s="124">
        <f t="shared" si="38"/>
        <v>5</v>
      </c>
      <c r="H329" s="19"/>
      <c r="I329" s="407">
        <f t="shared" si="40"/>
        <v>58</v>
      </c>
      <c r="J329" s="177"/>
      <c r="K329" s="177"/>
      <c r="L329" s="177"/>
      <c r="M329" s="288">
        <f>IF(G329&gt;$G$264,"",(SUM(O$269)-SUM(O$271:O328))*(M$269/12))</f>
        <v>601.44499147410374</v>
      </c>
      <c r="N329" s="288"/>
      <c r="O329" s="408">
        <f t="shared" si="39"/>
        <v>285.25430072118752</v>
      </c>
      <c r="P329" s="148"/>
      <c r="Q329" s="177"/>
      <c r="R329" s="177"/>
      <c r="S329" s="177"/>
      <c r="T329" s="148"/>
      <c r="U329" s="148"/>
      <c r="V329" s="148"/>
      <c r="W329" s="148"/>
      <c r="X329" s="148"/>
      <c r="Y329" s="148"/>
      <c r="Z329" s="148"/>
      <c r="AA329" s="148"/>
      <c r="AB329" s="148"/>
      <c r="AC329" s="148"/>
      <c r="AD329" s="148"/>
      <c r="AE329" s="148"/>
      <c r="AF329" s="148"/>
      <c r="AG329" s="148"/>
      <c r="AH329" s="148"/>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c r="BI329" s="148"/>
      <c r="BJ329" s="148"/>
      <c r="BK329" s="148"/>
    </row>
    <row r="330" spans="1:63" hidden="1" x14ac:dyDescent="0.25">
      <c r="A330" s="19"/>
      <c r="D330" s="12"/>
      <c r="E330" s="138">
        <f t="shared" si="37"/>
        <v>43617</v>
      </c>
      <c r="F330" s="63">
        <f t="shared" si="36"/>
        <v>2019</v>
      </c>
      <c r="G330" s="124">
        <f t="shared" si="38"/>
        <v>5</v>
      </c>
      <c r="H330" s="19"/>
      <c r="I330" s="407">
        <f t="shared" si="40"/>
        <v>59</v>
      </c>
      <c r="J330" s="177"/>
      <c r="K330" s="177"/>
      <c r="L330" s="177"/>
      <c r="M330" s="288">
        <f>IF(G330&gt;$G$264,"",(SUM(O$269)-SUM(O$271:O329))*(M$269/12))</f>
        <v>600.37528784639926</v>
      </c>
      <c r="N330" s="288"/>
      <c r="O330" s="408">
        <f t="shared" si="39"/>
        <v>286.324004348892</v>
      </c>
      <c r="P330" s="148"/>
      <c r="Q330" s="177"/>
      <c r="R330" s="177"/>
      <c r="S330" s="177"/>
      <c r="T330" s="148"/>
      <c r="U330" s="148"/>
      <c r="V330" s="148"/>
      <c r="W330" s="148"/>
      <c r="X330" s="148"/>
      <c r="Y330" s="148"/>
      <c r="Z330" s="148"/>
      <c r="AA330" s="148"/>
      <c r="AB330" s="148"/>
      <c r="AC330" s="148"/>
      <c r="AD330" s="148"/>
      <c r="AE330" s="148"/>
      <c r="AF330" s="148"/>
      <c r="AG330" s="148"/>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c r="BI330" s="148"/>
      <c r="BJ330" s="148"/>
      <c r="BK330" s="148"/>
    </row>
    <row r="331" spans="1:63" hidden="1" x14ac:dyDescent="0.25">
      <c r="A331" s="19"/>
      <c r="D331" s="12"/>
      <c r="E331" s="138">
        <f t="shared" si="37"/>
        <v>43647</v>
      </c>
      <c r="F331" s="63">
        <f t="shared" si="36"/>
        <v>2019</v>
      </c>
      <c r="G331" s="124">
        <f t="shared" si="38"/>
        <v>5</v>
      </c>
      <c r="H331" s="19"/>
      <c r="I331" s="407">
        <f t="shared" si="40"/>
        <v>60</v>
      </c>
      <c r="J331" s="177"/>
      <c r="K331" s="177"/>
      <c r="L331" s="177"/>
      <c r="M331" s="288">
        <f>IF(G331&gt;$G$264,"",(SUM(O$269)-SUM(O$271:O330))*(M$269/12))</f>
        <v>599.30157283009089</v>
      </c>
      <c r="N331" s="288"/>
      <c r="O331" s="408">
        <f t="shared" si="39"/>
        <v>287.39771936520037</v>
      </c>
      <c r="P331" s="148"/>
      <c r="Q331" s="177"/>
      <c r="R331" s="177"/>
      <c r="S331" s="177"/>
      <c r="T331" s="148"/>
      <c r="U331" s="148"/>
      <c r="V331" s="148"/>
      <c r="W331" s="148"/>
      <c r="X331" s="148"/>
      <c r="Y331" s="148"/>
      <c r="Z331" s="148"/>
      <c r="AA331" s="148"/>
      <c r="AB331" s="148"/>
      <c r="AC331" s="148"/>
      <c r="AD331" s="148"/>
      <c r="AE331" s="148"/>
      <c r="AF331" s="148"/>
      <c r="AG331" s="148"/>
      <c r="AH331" s="148"/>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c r="BI331" s="148"/>
      <c r="BJ331" s="148"/>
      <c r="BK331" s="148"/>
    </row>
    <row r="332" spans="1:63" hidden="1" x14ac:dyDescent="0.25">
      <c r="A332" s="19"/>
      <c r="D332" s="12"/>
      <c r="E332" s="138">
        <f t="shared" si="37"/>
        <v>43678</v>
      </c>
      <c r="F332" s="63">
        <f t="shared" si="36"/>
        <v>2019</v>
      </c>
      <c r="G332" s="124">
        <f t="shared" si="38"/>
        <v>6</v>
      </c>
      <c r="H332" s="19"/>
      <c r="I332" s="407">
        <f t="shared" si="40"/>
        <v>61</v>
      </c>
      <c r="J332" s="177"/>
      <c r="K332" s="177"/>
      <c r="L332" s="177"/>
      <c r="M332" s="288">
        <f>IF(G332&gt;$G$264,"",(SUM(O$269)-SUM(O$271:O331))*(M$269/12))</f>
        <v>598.22383138247142</v>
      </c>
      <c r="N332" s="288"/>
      <c r="O332" s="408">
        <f t="shared" si="39"/>
        <v>288.47546081281985</v>
      </c>
      <c r="P332" s="148"/>
      <c r="Q332" s="177"/>
      <c r="R332" s="177"/>
      <c r="S332" s="177"/>
      <c r="T332" s="148"/>
      <c r="U332" s="148"/>
      <c r="V332" s="148"/>
      <c r="W332" s="148"/>
      <c r="X332" s="148"/>
      <c r="Y332" s="148"/>
      <c r="Z332" s="148"/>
      <c r="AA332" s="148"/>
      <c r="AB332" s="148"/>
      <c r="AC332" s="148"/>
      <c r="AD332" s="148"/>
      <c r="AE332" s="148"/>
      <c r="AF332" s="148"/>
      <c r="AG332" s="148"/>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c r="BI332" s="148"/>
      <c r="BJ332" s="148"/>
      <c r="BK332" s="148"/>
    </row>
    <row r="333" spans="1:63" hidden="1" x14ac:dyDescent="0.25">
      <c r="A333" s="19"/>
      <c r="E333" s="138">
        <f t="shared" si="37"/>
        <v>43709</v>
      </c>
      <c r="F333" s="63">
        <f t="shared" si="36"/>
        <v>2019</v>
      </c>
      <c r="G333" s="124">
        <f t="shared" si="38"/>
        <v>6</v>
      </c>
      <c r="H333" s="19"/>
      <c r="I333" s="407">
        <f t="shared" si="40"/>
        <v>62</v>
      </c>
      <c r="J333" s="177"/>
      <c r="K333" s="177"/>
      <c r="L333" s="177"/>
      <c r="M333" s="288">
        <f>IF(G333&gt;$G$264,"",(SUM(O$269)-SUM(O$271:O332))*(M$269/12))</f>
        <v>597.14204840442335</v>
      </c>
      <c r="N333" s="288"/>
      <c r="O333" s="408">
        <f t="shared" si="39"/>
        <v>289.55724379086791</v>
      </c>
      <c r="P333" s="148"/>
      <c r="Q333" s="177"/>
      <c r="R333" s="177"/>
      <c r="S333" s="177"/>
      <c r="T333" s="148"/>
      <c r="U333" s="148"/>
      <c r="V333" s="148"/>
      <c r="W333" s="148"/>
      <c r="X333" s="148"/>
      <c r="Y333" s="148"/>
      <c r="Z333" s="148"/>
      <c r="AA333" s="148"/>
      <c r="AB333" s="148"/>
      <c r="AC333" s="148"/>
      <c r="AD333" s="148"/>
      <c r="AE333" s="148"/>
      <c r="AF333" s="148"/>
      <c r="AG333" s="148"/>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c r="BI333" s="148"/>
      <c r="BJ333" s="148"/>
      <c r="BK333" s="148"/>
    </row>
    <row r="334" spans="1:63" hidden="1" x14ac:dyDescent="0.25">
      <c r="A334" s="19"/>
      <c r="E334" s="138">
        <f t="shared" si="37"/>
        <v>43739</v>
      </c>
      <c r="F334" s="63">
        <f t="shared" si="36"/>
        <v>2019</v>
      </c>
      <c r="G334" s="124">
        <f t="shared" si="38"/>
        <v>6</v>
      </c>
      <c r="H334" s="19"/>
      <c r="I334" s="407">
        <f t="shared" si="40"/>
        <v>63</v>
      </c>
      <c r="J334" s="177"/>
      <c r="K334" s="177"/>
      <c r="L334" s="177"/>
      <c r="M334" s="288">
        <f>IF(G334&gt;$G$264,"",(SUM(O$269)-SUM(O$271:O333))*(M$269/12))</f>
        <v>596.05620874020758</v>
      </c>
      <c r="N334" s="288"/>
      <c r="O334" s="408">
        <f t="shared" si="39"/>
        <v>290.64308345508368</v>
      </c>
      <c r="P334" s="148"/>
      <c r="Q334" s="177"/>
      <c r="R334" s="177"/>
      <c r="S334" s="177"/>
      <c r="T334" s="148"/>
      <c r="U334" s="148"/>
      <c r="V334" s="148"/>
      <c r="W334" s="148"/>
      <c r="X334" s="148"/>
      <c r="Y334" s="148"/>
      <c r="Z334" s="148"/>
      <c r="AA334" s="148"/>
      <c r="AB334" s="148"/>
      <c r="AC334" s="148"/>
      <c r="AD334" s="148"/>
      <c r="AE334" s="148"/>
      <c r="AF334" s="148"/>
      <c r="AG334" s="148"/>
      <c r="AH334" s="148"/>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c r="BI334" s="148"/>
      <c r="BJ334" s="148"/>
      <c r="BK334" s="148"/>
    </row>
    <row r="335" spans="1:63" hidden="1" x14ac:dyDescent="0.25">
      <c r="A335" s="19"/>
      <c r="E335" s="138">
        <f t="shared" si="37"/>
        <v>43770</v>
      </c>
      <c r="F335" s="63">
        <f t="shared" si="36"/>
        <v>2019</v>
      </c>
      <c r="G335" s="124">
        <f t="shared" si="38"/>
        <v>6</v>
      </c>
      <c r="H335" s="19"/>
      <c r="I335" s="407">
        <f t="shared" si="40"/>
        <v>64</v>
      </c>
      <c r="J335" s="177"/>
      <c r="K335" s="177"/>
      <c r="L335" s="177"/>
      <c r="M335" s="288">
        <f>IF(G335&gt;$G$264,"",(SUM(O$269)-SUM(O$271:O334))*(M$269/12))</f>
        <v>594.96629717725114</v>
      </c>
      <c r="N335" s="288"/>
      <c r="O335" s="408">
        <f t="shared" si="39"/>
        <v>291.73299501804013</v>
      </c>
      <c r="P335" s="148"/>
      <c r="Q335" s="177"/>
      <c r="R335" s="177"/>
      <c r="S335" s="177"/>
      <c r="T335" s="148"/>
      <c r="U335" s="148"/>
      <c r="V335" s="148"/>
      <c r="W335" s="148"/>
      <c r="X335" s="148"/>
      <c r="Y335" s="148"/>
      <c r="Z335" s="148"/>
      <c r="AA335" s="148"/>
      <c r="AB335" s="148"/>
      <c r="AC335" s="148"/>
      <c r="AD335" s="148"/>
      <c r="AE335" s="148"/>
      <c r="AF335" s="148"/>
      <c r="AG335" s="148"/>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c r="BI335" s="148"/>
      <c r="BJ335" s="148"/>
      <c r="BK335" s="148"/>
    </row>
    <row r="336" spans="1:63" hidden="1" x14ac:dyDescent="0.25">
      <c r="A336" s="19"/>
      <c r="E336" s="138">
        <f t="shared" si="37"/>
        <v>43800</v>
      </c>
      <c r="F336" s="63">
        <f t="shared" ref="F336:F399" si="41">IF(M336="","",YEAR(E336))</f>
        <v>2019</v>
      </c>
      <c r="G336" s="124">
        <f t="shared" si="38"/>
        <v>6</v>
      </c>
      <c r="H336" s="19"/>
      <c r="I336" s="407">
        <f t="shared" si="40"/>
        <v>65</v>
      </c>
      <c r="J336" s="177"/>
      <c r="K336" s="177"/>
      <c r="L336" s="177"/>
      <c r="M336" s="288">
        <f>IF(G336&gt;$G$264,"",(SUM(O$269)-SUM(O$271:O335))*(M$269/12))</f>
        <v>593.87229844593344</v>
      </c>
      <c r="N336" s="288"/>
      <c r="O336" s="408">
        <f t="shared" si="39"/>
        <v>292.82699374935783</v>
      </c>
      <c r="P336" s="148"/>
      <c r="Q336" s="177"/>
      <c r="R336" s="177"/>
      <c r="S336" s="177"/>
      <c r="T336" s="148"/>
      <c r="U336" s="148"/>
      <c r="V336" s="148"/>
      <c r="W336" s="148"/>
      <c r="X336" s="148"/>
      <c r="Y336" s="148"/>
      <c r="Z336" s="148"/>
      <c r="AA336" s="148"/>
      <c r="AB336" s="148"/>
      <c r="AC336" s="148"/>
      <c r="AD336" s="148"/>
      <c r="AE336" s="148"/>
      <c r="AF336" s="148"/>
      <c r="AG336" s="148"/>
      <c r="AH336" s="148"/>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c r="BI336" s="148"/>
      <c r="BJ336" s="148"/>
      <c r="BK336" s="148"/>
    </row>
    <row r="337" spans="1:63" hidden="1" x14ac:dyDescent="0.25">
      <c r="A337" s="19"/>
      <c r="E337" s="138">
        <f t="shared" ref="E337:E400" si="42">EDATE(E336,1)</f>
        <v>43831</v>
      </c>
      <c r="F337" s="63">
        <f t="shared" si="41"/>
        <v>2020</v>
      </c>
      <c r="G337" s="124">
        <f t="shared" ref="G337:G400" si="43">ROUNDUP(I337/12,0)</f>
        <v>6</v>
      </c>
      <c r="H337" s="19"/>
      <c r="I337" s="407">
        <f t="shared" si="40"/>
        <v>66</v>
      </c>
      <c r="J337" s="177"/>
      <c r="K337" s="177"/>
      <c r="L337" s="177"/>
      <c r="M337" s="288">
        <f>IF(G337&gt;$G$264,"",(SUM(O$269)-SUM(O$271:O336))*(M$269/12))</f>
        <v>592.77419721937338</v>
      </c>
      <c r="N337" s="288"/>
      <c r="O337" s="408">
        <f t="shared" ref="O337:O400" si="44">IF(M337="","",M$270-M337)</f>
        <v>293.92509497591789</v>
      </c>
      <c r="P337" s="148"/>
      <c r="Q337" s="177"/>
      <c r="R337" s="177"/>
      <c r="S337" s="177"/>
      <c r="T337" s="148"/>
      <c r="U337" s="148"/>
      <c r="V337" s="148"/>
      <c r="W337" s="148"/>
      <c r="X337" s="148"/>
      <c r="Y337" s="148"/>
      <c r="Z337" s="148"/>
      <c r="AA337" s="148"/>
      <c r="AB337" s="148"/>
      <c r="AC337" s="148"/>
      <c r="AD337" s="148"/>
      <c r="AE337" s="148"/>
      <c r="AF337" s="148"/>
      <c r="AG337" s="148"/>
      <c r="AH337" s="148"/>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c r="BI337" s="148"/>
      <c r="BJ337" s="148"/>
      <c r="BK337" s="148"/>
    </row>
    <row r="338" spans="1:63" hidden="1" x14ac:dyDescent="0.25">
      <c r="A338" s="19"/>
      <c r="E338" s="138">
        <f t="shared" si="42"/>
        <v>43862</v>
      </c>
      <c r="F338" s="63">
        <f t="shared" si="41"/>
        <v>2020</v>
      </c>
      <c r="G338" s="124">
        <f t="shared" si="43"/>
        <v>6</v>
      </c>
      <c r="H338" s="19"/>
      <c r="I338" s="407">
        <f t="shared" ref="I338:I401" si="45">I337+1</f>
        <v>67</v>
      </c>
      <c r="J338" s="177"/>
      <c r="K338" s="177"/>
      <c r="L338" s="177"/>
      <c r="M338" s="288">
        <f>IF(G338&gt;$G$264,"",(SUM(O$269)-SUM(O$271:O337))*(M$269/12))</f>
        <v>591.67197811321364</v>
      </c>
      <c r="N338" s="288"/>
      <c r="O338" s="408">
        <f t="shared" si="44"/>
        <v>295.02731408207762</v>
      </c>
      <c r="P338" s="148"/>
      <c r="Q338" s="177"/>
      <c r="R338" s="177"/>
      <c r="S338" s="177"/>
      <c r="T338" s="148"/>
      <c r="U338" s="148"/>
      <c r="V338" s="148"/>
      <c r="W338" s="148"/>
      <c r="X338" s="148"/>
      <c r="Y338" s="148"/>
      <c r="Z338" s="148"/>
      <c r="AA338" s="148"/>
      <c r="AB338" s="148"/>
      <c r="AC338" s="148"/>
      <c r="AD338" s="148"/>
      <c r="AE338" s="148"/>
      <c r="AF338" s="148"/>
      <c r="AG338" s="148"/>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c r="BI338" s="148"/>
      <c r="BJ338" s="148"/>
      <c r="BK338" s="148"/>
    </row>
    <row r="339" spans="1:63" hidden="1" x14ac:dyDescent="0.25">
      <c r="A339" s="19"/>
      <c r="E339" s="138">
        <f t="shared" si="42"/>
        <v>43891</v>
      </c>
      <c r="F339" s="63">
        <f t="shared" si="41"/>
        <v>2020</v>
      </c>
      <c r="G339" s="124">
        <f t="shared" si="43"/>
        <v>6</v>
      </c>
      <c r="H339" s="19"/>
      <c r="I339" s="407">
        <f t="shared" si="45"/>
        <v>68</v>
      </c>
      <c r="J339" s="177"/>
      <c r="K339" s="177"/>
      <c r="L339" s="177"/>
      <c r="M339" s="288">
        <f>IF(G339&gt;$G$264,"",(SUM(O$269)-SUM(O$271:O338))*(M$269/12))</f>
        <v>590.56562568540585</v>
      </c>
      <c r="N339" s="288"/>
      <c r="O339" s="408">
        <f t="shared" si="44"/>
        <v>296.13366650988542</v>
      </c>
      <c r="P339" s="148"/>
      <c r="Q339" s="177"/>
      <c r="R339" s="177"/>
      <c r="S339" s="177"/>
      <c r="T339" s="148"/>
      <c r="U339" s="148"/>
      <c r="V339" s="148"/>
      <c r="W339" s="148"/>
      <c r="X339" s="148"/>
      <c r="Y339" s="148"/>
      <c r="Z339" s="148"/>
      <c r="AA339" s="148"/>
      <c r="AB339" s="148"/>
      <c r="AC339" s="148"/>
      <c r="AD339" s="148"/>
      <c r="AE339" s="148"/>
      <c r="AF339" s="148"/>
      <c r="AG339" s="148"/>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c r="BI339" s="148"/>
      <c r="BJ339" s="148"/>
      <c r="BK339" s="148"/>
    </row>
    <row r="340" spans="1:63" hidden="1" x14ac:dyDescent="0.25">
      <c r="A340" s="19"/>
      <c r="E340" s="138">
        <f t="shared" si="42"/>
        <v>43922</v>
      </c>
      <c r="F340" s="63">
        <f t="shared" si="41"/>
        <v>2020</v>
      </c>
      <c r="G340" s="124">
        <f t="shared" si="43"/>
        <v>6</v>
      </c>
      <c r="H340" s="19"/>
      <c r="I340" s="407">
        <f t="shared" si="45"/>
        <v>69</v>
      </c>
      <c r="J340" s="177"/>
      <c r="K340" s="177"/>
      <c r="L340" s="177"/>
      <c r="M340" s="288">
        <f>IF(G340&gt;$G$264,"",(SUM(O$269)-SUM(O$271:O339))*(M$269/12))</f>
        <v>589.45512443599364</v>
      </c>
      <c r="N340" s="288"/>
      <c r="O340" s="408">
        <f t="shared" si="44"/>
        <v>297.24416775929762</v>
      </c>
      <c r="P340" s="148"/>
      <c r="Q340" s="177"/>
      <c r="R340" s="177"/>
      <c r="S340" s="177"/>
      <c r="T340" s="148"/>
      <c r="U340" s="148"/>
      <c r="V340" s="148"/>
      <c r="W340" s="148"/>
      <c r="X340" s="148"/>
      <c r="Y340" s="148"/>
      <c r="Z340" s="148"/>
      <c r="AA340" s="148"/>
      <c r="AB340" s="148"/>
      <c r="AC340" s="148"/>
      <c r="AD340" s="148"/>
      <c r="AE340" s="148"/>
      <c r="AF340" s="148"/>
      <c r="AG340" s="148"/>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c r="BI340" s="148"/>
      <c r="BJ340" s="148"/>
      <c r="BK340" s="148"/>
    </row>
    <row r="341" spans="1:63" hidden="1" x14ac:dyDescent="0.25">
      <c r="A341" s="19"/>
      <c r="E341" s="138">
        <f t="shared" si="42"/>
        <v>43952</v>
      </c>
      <c r="F341" s="63">
        <f t="shared" si="41"/>
        <v>2020</v>
      </c>
      <c r="G341" s="124">
        <f t="shared" si="43"/>
        <v>6</v>
      </c>
      <c r="H341" s="19"/>
      <c r="I341" s="407">
        <f t="shared" si="45"/>
        <v>70</v>
      </c>
      <c r="J341" s="177"/>
      <c r="K341" s="177"/>
      <c r="L341" s="177"/>
      <c r="M341" s="288">
        <f>IF(G341&gt;$G$264,"",(SUM(O$269)-SUM(O$271:O340))*(M$269/12))</f>
        <v>588.34045880689632</v>
      </c>
      <c r="N341" s="288"/>
      <c r="O341" s="408">
        <f t="shared" si="44"/>
        <v>298.35883338839494</v>
      </c>
      <c r="P341" s="148"/>
      <c r="Q341" s="177"/>
      <c r="R341" s="177"/>
      <c r="S341" s="177"/>
      <c r="T341" s="148"/>
      <c r="U341" s="148"/>
      <c r="V341" s="148"/>
      <c r="W341" s="148"/>
      <c r="X341" s="148"/>
      <c r="Y341" s="148"/>
      <c r="Z341" s="148"/>
      <c r="AA341" s="148"/>
      <c r="AB341" s="148"/>
      <c r="AC341" s="148"/>
      <c r="AD341" s="148"/>
      <c r="AE341" s="148"/>
      <c r="AF341" s="148"/>
      <c r="AG341" s="148"/>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c r="BI341" s="148"/>
      <c r="BJ341" s="148"/>
      <c r="BK341" s="148"/>
    </row>
    <row r="342" spans="1:63" hidden="1" x14ac:dyDescent="0.25">
      <c r="A342" s="19"/>
      <c r="E342" s="138">
        <f t="shared" si="42"/>
        <v>43983</v>
      </c>
      <c r="F342" s="63">
        <f t="shared" si="41"/>
        <v>2020</v>
      </c>
      <c r="G342" s="124">
        <f t="shared" si="43"/>
        <v>6</v>
      </c>
      <c r="H342" s="19"/>
      <c r="I342" s="407">
        <f t="shared" si="45"/>
        <v>71</v>
      </c>
      <c r="J342" s="177"/>
      <c r="K342" s="177"/>
      <c r="L342" s="177"/>
      <c r="M342" s="288">
        <f>IF(G342&gt;$G$264,"",(SUM(O$269)-SUM(O$271:O341))*(M$269/12))</f>
        <v>587.22161318168992</v>
      </c>
      <c r="N342" s="288"/>
      <c r="O342" s="408">
        <f t="shared" si="44"/>
        <v>299.47767901360135</v>
      </c>
      <c r="P342" s="148"/>
      <c r="Q342" s="177"/>
      <c r="R342" s="177"/>
      <c r="S342" s="177"/>
      <c r="T342" s="148"/>
      <c r="U342" s="148"/>
      <c r="V342" s="148"/>
      <c r="W342" s="148"/>
      <c r="X342" s="148"/>
      <c r="Y342" s="148"/>
      <c r="Z342" s="148"/>
      <c r="AA342" s="148"/>
      <c r="AB342" s="148"/>
      <c r="AC342" s="148"/>
      <c r="AD342" s="148"/>
      <c r="AE342" s="148"/>
      <c r="AF342" s="148"/>
      <c r="AG342" s="148"/>
      <c r="AH342" s="148"/>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c r="BI342" s="148"/>
      <c r="BJ342" s="148"/>
      <c r="BK342" s="148"/>
    </row>
    <row r="343" spans="1:63" hidden="1" x14ac:dyDescent="0.25">
      <c r="A343" s="19"/>
      <c r="E343" s="138">
        <f t="shared" si="42"/>
        <v>44013</v>
      </c>
      <c r="F343" s="63">
        <f t="shared" si="41"/>
        <v>2020</v>
      </c>
      <c r="G343" s="124">
        <f t="shared" si="43"/>
        <v>6</v>
      </c>
      <c r="H343" s="19"/>
      <c r="I343" s="407">
        <f t="shared" si="45"/>
        <v>72</v>
      </c>
      <c r="J343" s="177"/>
      <c r="K343" s="177"/>
      <c r="L343" s="177"/>
      <c r="M343" s="288">
        <f>IF(G343&gt;$G$264,"",(SUM(O$269)-SUM(O$271:O342))*(M$269/12))</f>
        <v>586.09857188538888</v>
      </c>
      <c r="N343" s="288"/>
      <c r="O343" s="408">
        <f t="shared" si="44"/>
        <v>300.60072030990239</v>
      </c>
      <c r="P343" s="148"/>
      <c r="Q343" s="177"/>
      <c r="R343" s="177"/>
      <c r="S343" s="177"/>
      <c r="T343" s="148"/>
      <c r="U343" s="148"/>
      <c r="V343" s="148"/>
      <c r="W343" s="148"/>
      <c r="X343" s="148"/>
      <c r="Y343" s="148"/>
      <c r="Z343" s="148"/>
      <c r="AA343" s="148"/>
      <c r="AB343" s="148"/>
      <c r="AC343" s="148"/>
      <c r="AD343" s="148"/>
      <c r="AE343" s="148"/>
      <c r="AF343" s="148"/>
      <c r="AG343" s="148"/>
      <c r="AH343" s="148"/>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c r="BI343" s="148"/>
      <c r="BJ343" s="148"/>
      <c r="BK343" s="148"/>
    </row>
    <row r="344" spans="1:63" hidden="1" x14ac:dyDescent="0.25">
      <c r="A344" s="19"/>
      <c r="E344" s="138">
        <f t="shared" si="42"/>
        <v>44044</v>
      </c>
      <c r="F344" s="63">
        <f t="shared" si="41"/>
        <v>2020</v>
      </c>
      <c r="G344" s="124">
        <f t="shared" si="43"/>
        <v>7</v>
      </c>
      <c r="H344" s="19"/>
      <c r="I344" s="407">
        <f t="shared" si="45"/>
        <v>73</v>
      </c>
      <c r="J344" s="177"/>
      <c r="K344" s="177"/>
      <c r="L344" s="177"/>
      <c r="M344" s="288">
        <f>IF(G344&gt;$G$264,"",(SUM(O$269)-SUM(O$271:O343))*(M$269/12))</f>
        <v>584.97131918422667</v>
      </c>
      <c r="N344" s="288"/>
      <c r="O344" s="408">
        <f t="shared" si="44"/>
        <v>301.72797301106459</v>
      </c>
      <c r="P344" s="148"/>
      <c r="Q344" s="177"/>
      <c r="R344" s="177"/>
      <c r="S344" s="177"/>
      <c r="T344" s="148"/>
      <c r="U344" s="148"/>
      <c r="V344" s="148"/>
      <c r="W344" s="148"/>
      <c r="X344" s="148"/>
      <c r="Y344" s="148"/>
      <c r="Z344" s="148"/>
      <c r="AA344" s="148"/>
      <c r="AB344" s="148"/>
      <c r="AC344" s="148"/>
      <c r="AD344" s="148"/>
      <c r="AE344" s="148"/>
      <c r="AF344" s="148"/>
      <c r="AG344" s="148"/>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c r="BI344" s="148"/>
      <c r="BJ344" s="148"/>
      <c r="BK344" s="148"/>
    </row>
    <row r="345" spans="1:63" hidden="1" x14ac:dyDescent="0.25">
      <c r="A345" s="19"/>
      <c r="E345" s="138">
        <f t="shared" si="42"/>
        <v>44075</v>
      </c>
      <c r="F345" s="63">
        <f t="shared" si="41"/>
        <v>2020</v>
      </c>
      <c r="G345" s="124">
        <f t="shared" si="43"/>
        <v>7</v>
      </c>
      <c r="H345" s="19"/>
      <c r="I345" s="407">
        <f t="shared" si="45"/>
        <v>74</v>
      </c>
      <c r="J345" s="177"/>
      <c r="K345" s="177"/>
      <c r="L345" s="177"/>
      <c r="M345" s="288">
        <f>IF(G345&gt;$G$264,"",(SUM(O$269)-SUM(O$271:O344))*(M$269/12))</f>
        <v>583.83983928543523</v>
      </c>
      <c r="N345" s="288"/>
      <c r="O345" s="408">
        <f t="shared" si="44"/>
        <v>302.85945290985603</v>
      </c>
      <c r="P345" s="148"/>
      <c r="Q345" s="177"/>
      <c r="R345" s="177"/>
      <c r="S345" s="177"/>
      <c r="T345" s="148"/>
      <c r="U345" s="148"/>
      <c r="V345" s="148"/>
      <c r="W345" s="148"/>
      <c r="X345" s="148"/>
      <c r="Y345" s="148"/>
      <c r="Z345" s="148"/>
      <c r="AA345" s="148"/>
      <c r="AB345" s="148"/>
      <c r="AC345" s="148"/>
      <c r="AD345" s="148"/>
      <c r="AE345" s="148"/>
      <c r="AF345" s="148"/>
      <c r="AG345" s="148"/>
      <c r="AH345" s="148"/>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c r="BI345" s="148"/>
      <c r="BJ345" s="148"/>
      <c r="BK345" s="148"/>
    </row>
    <row r="346" spans="1:63" hidden="1" x14ac:dyDescent="0.25">
      <c r="A346" s="19"/>
      <c r="E346" s="138">
        <f t="shared" si="42"/>
        <v>44105</v>
      </c>
      <c r="F346" s="63">
        <f t="shared" si="41"/>
        <v>2020</v>
      </c>
      <c r="G346" s="124">
        <f t="shared" si="43"/>
        <v>7</v>
      </c>
      <c r="H346" s="19"/>
      <c r="I346" s="407">
        <f t="shared" si="45"/>
        <v>75</v>
      </c>
      <c r="J346" s="177"/>
      <c r="K346" s="177"/>
      <c r="L346" s="177"/>
      <c r="M346" s="288">
        <f>IF(G346&gt;$G$264,"",(SUM(O$269)-SUM(O$271:O345))*(M$269/12))</f>
        <v>582.70411633702327</v>
      </c>
      <c r="N346" s="288"/>
      <c r="O346" s="408">
        <f t="shared" si="44"/>
        <v>303.995175858268</v>
      </c>
      <c r="P346" s="148"/>
      <c r="Q346" s="177"/>
      <c r="R346" s="177"/>
      <c r="S346" s="177"/>
      <c r="T346" s="148"/>
      <c r="U346" s="148"/>
      <c r="V346" s="148"/>
      <c r="W346" s="148"/>
      <c r="X346" s="148"/>
      <c r="Y346" s="148"/>
      <c r="Z346" s="148"/>
      <c r="AA346" s="148"/>
      <c r="AB346" s="148"/>
      <c r="AC346" s="148"/>
      <c r="AD346" s="148"/>
      <c r="AE346" s="148"/>
      <c r="AF346" s="148"/>
      <c r="AG346" s="148"/>
      <c r="AH346" s="148"/>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c r="BI346" s="148"/>
      <c r="BJ346" s="148"/>
      <c r="BK346" s="148"/>
    </row>
    <row r="347" spans="1:63" hidden="1" x14ac:dyDescent="0.25">
      <c r="A347" s="19"/>
      <c r="E347" s="138">
        <f t="shared" si="42"/>
        <v>44136</v>
      </c>
      <c r="F347" s="63">
        <f t="shared" si="41"/>
        <v>2020</v>
      </c>
      <c r="G347" s="124">
        <f t="shared" si="43"/>
        <v>7</v>
      </c>
      <c r="H347" s="19"/>
      <c r="I347" s="407">
        <f t="shared" si="45"/>
        <v>76</v>
      </c>
      <c r="J347" s="177"/>
      <c r="K347" s="177"/>
      <c r="L347" s="177"/>
      <c r="M347" s="288">
        <f>IF(G347&gt;$G$264,"",(SUM(O$269)-SUM(O$271:O346))*(M$269/12))</f>
        <v>581.56413442755468</v>
      </c>
      <c r="N347" s="288"/>
      <c r="O347" s="408">
        <f t="shared" si="44"/>
        <v>305.13515776773659</v>
      </c>
      <c r="P347" s="148"/>
      <c r="Q347" s="177"/>
      <c r="R347" s="177"/>
      <c r="S347" s="177"/>
      <c r="T347" s="148"/>
      <c r="U347" s="148"/>
      <c r="V347" s="148"/>
      <c r="W347" s="148"/>
      <c r="X347" s="148"/>
      <c r="Y347" s="148"/>
      <c r="Z347" s="148"/>
      <c r="AA347" s="148"/>
      <c r="AB347" s="148"/>
      <c r="AC347" s="148"/>
      <c r="AD347" s="148"/>
      <c r="AE347" s="148"/>
      <c r="AF347" s="148"/>
      <c r="AG347" s="148"/>
      <c r="AH347" s="148"/>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c r="BI347" s="148"/>
      <c r="BJ347" s="148"/>
      <c r="BK347" s="148"/>
    </row>
    <row r="348" spans="1:63" hidden="1" x14ac:dyDescent="0.25">
      <c r="A348" s="19"/>
      <c r="E348" s="138">
        <f t="shared" si="42"/>
        <v>44166</v>
      </c>
      <c r="F348" s="63">
        <f t="shared" si="41"/>
        <v>2020</v>
      </c>
      <c r="G348" s="124">
        <f t="shared" si="43"/>
        <v>7</v>
      </c>
      <c r="H348" s="19"/>
      <c r="I348" s="407">
        <f t="shared" si="45"/>
        <v>77</v>
      </c>
      <c r="J348" s="177"/>
      <c r="K348" s="177"/>
      <c r="L348" s="177"/>
      <c r="M348" s="288">
        <f>IF(G348&gt;$G$264,"",(SUM(O$269)-SUM(O$271:O347))*(M$269/12))</f>
        <v>580.41987758592575</v>
      </c>
      <c r="N348" s="288"/>
      <c r="O348" s="408">
        <f t="shared" si="44"/>
        <v>306.27941460936552</v>
      </c>
      <c r="P348" s="148"/>
      <c r="Q348" s="177"/>
      <c r="R348" s="177"/>
      <c r="S348" s="177"/>
      <c r="T348" s="148"/>
      <c r="U348" s="148"/>
      <c r="V348" s="148"/>
      <c r="W348" s="148"/>
      <c r="X348" s="148"/>
      <c r="Y348" s="148"/>
      <c r="Z348" s="148"/>
      <c r="AA348" s="148"/>
      <c r="AB348" s="148"/>
      <c r="AC348" s="148"/>
      <c r="AD348" s="148"/>
      <c r="AE348" s="148"/>
      <c r="AF348" s="148"/>
      <c r="AG348" s="148"/>
      <c r="AH348" s="148"/>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c r="BI348" s="148"/>
      <c r="BJ348" s="148"/>
      <c r="BK348" s="148"/>
    </row>
    <row r="349" spans="1:63" hidden="1" x14ac:dyDescent="0.25">
      <c r="A349" s="19"/>
      <c r="E349" s="138">
        <f t="shared" si="42"/>
        <v>44197</v>
      </c>
      <c r="F349" s="63">
        <f t="shared" si="41"/>
        <v>2021</v>
      </c>
      <c r="G349" s="124">
        <f t="shared" si="43"/>
        <v>7</v>
      </c>
      <c r="H349" s="19"/>
      <c r="I349" s="407">
        <f t="shared" si="45"/>
        <v>78</v>
      </c>
      <c r="J349" s="177"/>
      <c r="K349" s="177"/>
      <c r="L349" s="177"/>
      <c r="M349" s="288">
        <f>IF(G349&gt;$G$264,"",(SUM(O$269)-SUM(O$271:O348))*(M$269/12))</f>
        <v>579.27132978114071</v>
      </c>
      <c r="N349" s="288"/>
      <c r="O349" s="408">
        <f t="shared" si="44"/>
        <v>307.42796241415056</v>
      </c>
      <c r="P349" s="148"/>
      <c r="Q349" s="177"/>
      <c r="R349" s="177"/>
      <c r="S349" s="177"/>
      <c r="T349" s="148"/>
      <c r="U349" s="148"/>
      <c r="V349" s="148"/>
      <c r="W349" s="148"/>
      <c r="X349" s="148"/>
      <c r="Y349" s="148"/>
      <c r="Z349" s="148"/>
      <c r="AA349" s="148"/>
      <c r="AB349" s="148"/>
      <c r="AC349" s="148"/>
      <c r="AD349" s="148"/>
      <c r="AE349" s="148"/>
      <c r="AF349" s="148"/>
      <c r="AG349" s="148"/>
      <c r="AH349" s="148"/>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c r="BI349" s="148"/>
      <c r="BJ349" s="148"/>
      <c r="BK349" s="148"/>
    </row>
    <row r="350" spans="1:63" hidden="1" x14ac:dyDescent="0.25">
      <c r="A350" s="19"/>
      <c r="E350" s="138">
        <f t="shared" si="42"/>
        <v>44228</v>
      </c>
      <c r="F350" s="63">
        <f t="shared" si="41"/>
        <v>2021</v>
      </c>
      <c r="G350" s="124">
        <f t="shared" si="43"/>
        <v>7</v>
      </c>
      <c r="H350" s="19"/>
      <c r="I350" s="407">
        <f t="shared" si="45"/>
        <v>79</v>
      </c>
      <c r="J350" s="177"/>
      <c r="K350" s="177"/>
      <c r="L350" s="177"/>
      <c r="M350" s="288">
        <f>IF(G350&gt;$G$264,"",(SUM(O$269)-SUM(O$271:O349))*(M$269/12))</f>
        <v>578.11847492208756</v>
      </c>
      <c r="N350" s="288"/>
      <c r="O350" s="408">
        <f t="shared" si="44"/>
        <v>308.58081727320371</v>
      </c>
      <c r="P350" s="148"/>
      <c r="Q350" s="177"/>
      <c r="R350" s="177"/>
      <c r="S350" s="177"/>
      <c r="T350" s="148"/>
      <c r="U350" s="148"/>
      <c r="V350" s="148"/>
      <c r="W350" s="148"/>
      <c r="X350" s="148"/>
      <c r="Y350" s="148"/>
      <c r="Z350" s="148"/>
      <c r="AA350" s="148"/>
      <c r="AB350" s="148"/>
      <c r="AC350" s="148"/>
      <c r="AD350" s="148"/>
      <c r="AE350" s="148"/>
      <c r="AF350" s="148"/>
      <c r="AG350" s="148"/>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c r="BI350" s="148"/>
      <c r="BJ350" s="148"/>
      <c r="BK350" s="148"/>
    </row>
    <row r="351" spans="1:63" hidden="1" x14ac:dyDescent="0.25">
      <c r="A351" s="19"/>
      <c r="E351" s="138">
        <f t="shared" si="42"/>
        <v>44256</v>
      </c>
      <c r="F351" s="63">
        <f t="shared" si="41"/>
        <v>2021</v>
      </c>
      <c r="G351" s="124">
        <f t="shared" si="43"/>
        <v>7</v>
      </c>
      <c r="H351" s="19"/>
      <c r="I351" s="407">
        <f t="shared" si="45"/>
        <v>80</v>
      </c>
      <c r="J351" s="177"/>
      <c r="K351" s="177"/>
      <c r="L351" s="177"/>
      <c r="M351" s="288">
        <f>IF(G351&gt;$G$264,"",(SUM(O$269)-SUM(O$271:O350))*(M$269/12))</f>
        <v>576.96129685731307</v>
      </c>
      <c r="N351" s="288"/>
      <c r="O351" s="408">
        <f t="shared" si="44"/>
        <v>309.73799533797819</v>
      </c>
      <c r="P351" s="148"/>
      <c r="Q351" s="177"/>
      <c r="R351" s="177"/>
      <c r="S351" s="177"/>
      <c r="T351" s="148"/>
      <c r="U351" s="148"/>
      <c r="V351" s="148"/>
      <c r="W351" s="148"/>
      <c r="X351" s="148"/>
      <c r="Y351" s="148"/>
      <c r="Z351" s="148"/>
      <c r="AA351" s="148"/>
      <c r="AB351" s="148"/>
      <c r="AC351" s="148"/>
      <c r="AD351" s="148"/>
      <c r="AE351" s="148"/>
      <c r="AF351" s="148"/>
      <c r="AG351" s="148"/>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c r="BI351" s="148"/>
      <c r="BJ351" s="148"/>
      <c r="BK351" s="148"/>
    </row>
    <row r="352" spans="1:63" hidden="1" x14ac:dyDescent="0.25">
      <c r="A352" s="19"/>
      <c r="E352" s="138">
        <f t="shared" si="42"/>
        <v>44287</v>
      </c>
      <c r="F352" s="63">
        <f t="shared" si="41"/>
        <v>2021</v>
      </c>
      <c r="G352" s="124">
        <f t="shared" si="43"/>
        <v>7</v>
      </c>
      <c r="H352" s="19"/>
      <c r="I352" s="407">
        <f t="shared" si="45"/>
        <v>81</v>
      </c>
      <c r="J352" s="177"/>
      <c r="K352" s="177"/>
      <c r="L352" s="177"/>
      <c r="M352" s="288">
        <f>IF(G352&gt;$G$264,"",(SUM(O$269)-SUM(O$271:O351))*(M$269/12))</f>
        <v>575.79977937479555</v>
      </c>
      <c r="N352" s="288"/>
      <c r="O352" s="408">
        <f t="shared" si="44"/>
        <v>310.89951282049572</v>
      </c>
      <c r="P352" s="148"/>
      <c r="Q352" s="177"/>
      <c r="R352" s="177"/>
      <c r="S352" s="177"/>
      <c r="T352" s="148"/>
      <c r="U352" s="148"/>
      <c r="V352" s="148"/>
      <c r="W352" s="148"/>
      <c r="X352" s="148"/>
      <c r="Y352" s="148"/>
      <c r="Z352" s="148"/>
      <c r="AA352" s="148"/>
      <c r="AB352" s="148"/>
      <c r="AC352" s="148"/>
      <c r="AD352" s="148"/>
      <c r="AE352" s="148"/>
      <c r="AF352" s="148"/>
      <c r="AG352" s="148"/>
      <c r="AH352" s="148"/>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c r="BI352" s="148"/>
      <c r="BJ352" s="148"/>
      <c r="BK352" s="148"/>
    </row>
    <row r="353" spans="1:63" hidden="1" x14ac:dyDescent="0.25">
      <c r="A353" s="19"/>
      <c r="E353" s="138">
        <f t="shared" si="42"/>
        <v>44317</v>
      </c>
      <c r="F353" s="63">
        <f t="shared" si="41"/>
        <v>2021</v>
      </c>
      <c r="G353" s="124">
        <f t="shared" si="43"/>
        <v>7</v>
      </c>
      <c r="H353" s="19"/>
      <c r="I353" s="407">
        <f t="shared" si="45"/>
        <v>82</v>
      </c>
      <c r="J353" s="177"/>
      <c r="K353" s="177"/>
      <c r="L353" s="177"/>
      <c r="M353" s="288">
        <f>IF(G353&gt;$G$264,"",(SUM(O$269)-SUM(O$271:O352))*(M$269/12))</f>
        <v>574.63390620171879</v>
      </c>
      <c r="N353" s="288"/>
      <c r="O353" s="408">
        <f t="shared" si="44"/>
        <v>312.06538599357248</v>
      </c>
      <c r="P353" s="148"/>
      <c r="Q353" s="177"/>
      <c r="R353" s="177"/>
      <c r="S353" s="177"/>
      <c r="T353" s="148"/>
      <c r="U353" s="148"/>
      <c r="V353" s="148"/>
      <c r="W353" s="148"/>
      <c r="X353" s="148"/>
      <c r="Y353" s="148"/>
      <c r="Z353" s="148"/>
      <c r="AA353" s="148"/>
      <c r="AB353" s="148"/>
      <c r="AC353" s="148"/>
      <c r="AD353" s="148"/>
      <c r="AE353" s="148"/>
      <c r="AF353" s="148"/>
      <c r="AG353" s="148"/>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c r="BI353" s="148"/>
      <c r="BJ353" s="148"/>
      <c r="BK353" s="148"/>
    </row>
    <row r="354" spans="1:63" hidden="1" x14ac:dyDescent="0.25">
      <c r="A354" s="19"/>
      <c r="E354" s="138">
        <f t="shared" si="42"/>
        <v>44348</v>
      </c>
      <c r="F354" s="63">
        <f t="shared" si="41"/>
        <v>2021</v>
      </c>
      <c r="G354" s="124">
        <f t="shared" si="43"/>
        <v>7</v>
      </c>
      <c r="H354" s="19"/>
      <c r="I354" s="407">
        <f t="shared" si="45"/>
        <v>83</v>
      </c>
      <c r="J354" s="177"/>
      <c r="K354" s="177"/>
      <c r="L354" s="177"/>
      <c r="M354" s="288">
        <f>IF(G354&gt;$G$264,"",(SUM(O$269)-SUM(O$271:O353))*(M$269/12))</f>
        <v>573.46366100424291</v>
      </c>
      <c r="N354" s="288"/>
      <c r="O354" s="408">
        <f t="shared" si="44"/>
        <v>313.23563119104836</v>
      </c>
      <c r="P354" s="148"/>
      <c r="Q354" s="177"/>
      <c r="R354" s="177"/>
      <c r="S354" s="177"/>
      <c r="T354" s="148"/>
      <c r="U354" s="148"/>
      <c r="V354" s="148"/>
      <c r="W354" s="148"/>
      <c r="X354" s="148"/>
      <c r="Y354" s="148"/>
      <c r="Z354" s="148"/>
      <c r="AA354" s="148"/>
      <c r="AB354" s="148"/>
      <c r="AC354" s="148"/>
      <c r="AD354" s="148"/>
      <c r="AE354" s="148"/>
      <c r="AF354" s="148"/>
      <c r="AG354" s="148"/>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c r="BI354" s="148"/>
      <c r="BJ354" s="148"/>
      <c r="BK354" s="148"/>
    </row>
    <row r="355" spans="1:63" hidden="1" x14ac:dyDescent="0.25">
      <c r="A355" s="19"/>
      <c r="E355" s="138">
        <f t="shared" si="42"/>
        <v>44378</v>
      </c>
      <c r="F355" s="63">
        <f t="shared" si="41"/>
        <v>2021</v>
      </c>
      <c r="G355" s="124">
        <f t="shared" si="43"/>
        <v>7</v>
      </c>
      <c r="H355" s="19"/>
      <c r="I355" s="407">
        <f t="shared" si="45"/>
        <v>84</v>
      </c>
      <c r="J355" s="177"/>
      <c r="K355" s="177"/>
      <c r="L355" s="177"/>
      <c r="M355" s="288">
        <f>IF(G355&gt;$G$264,"",(SUM(O$269)-SUM(O$271:O354))*(M$269/12))</f>
        <v>572.28902738727652</v>
      </c>
      <c r="N355" s="288"/>
      <c r="O355" s="408">
        <f t="shared" si="44"/>
        <v>314.41026480801474</v>
      </c>
      <c r="P355" s="148"/>
      <c r="Q355" s="177"/>
      <c r="R355" s="177"/>
      <c r="S355" s="177"/>
      <c r="T355" s="148"/>
      <c r="U355" s="148"/>
      <c r="V355" s="148"/>
      <c r="W355" s="148"/>
      <c r="X355" s="148"/>
      <c r="Y355" s="148"/>
      <c r="Z355" s="148"/>
      <c r="AA355" s="148"/>
      <c r="AB355" s="148"/>
      <c r="AC355" s="148"/>
      <c r="AD355" s="148"/>
      <c r="AE355" s="148"/>
      <c r="AF355" s="148"/>
      <c r="AG355" s="148"/>
      <c r="AH355" s="148"/>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c r="BI355" s="148"/>
      <c r="BJ355" s="148"/>
      <c r="BK355" s="148"/>
    </row>
    <row r="356" spans="1:63" hidden="1" x14ac:dyDescent="0.25">
      <c r="A356" s="19"/>
      <c r="E356" s="138">
        <f t="shared" si="42"/>
        <v>44409</v>
      </c>
      <c r="F356" s="63">
        <f t="shared" si="41"/>
        <v>2021</v>
      </c>
      <c r="G356" s="124">
        <f t="shared" si="43"/>
        <v>8</v>
      </c>
      <c r="H356" s="19"/>
      <c r="I356" s="407">
        <f t="shared" si="45"/>
        <v>85</v>
      </c>
      <c r="J356" s="177"/>
      <c r="K356" s="177"/>
      <c r="L356" s="177"/>
      <c r="M356" s="288">
        <f>IF(G356&gt;$G$264,"",(SUM(O$269)-SUM(O$271:O355))*(M$269/12))</f>
        <v>571.10998889424638</v>
      </c>
      <c r="N356" s="288"/>
      <c r="O356" s="408">
        <f t="shared" si="44"/>
        <v>315.58930330104488</v>
      </c>
      <c r="P356" s="148"/>
      <c r="Q356" s="177"/>
      <c r="R356" s="177"/>
      <c r="S356" s="177"/>
      <c r="T356" s="148"/>
      <c r="U356" s="148"/>
      <c r="V356" s="148"/>
      <c r="W356" s="148"/>
      <c r="X356" s="148"/>
      <c r="Y356" s="148"/>
      <c r="Z356" s="148"/>
      <c r="AA356" s="148"/>
      <c r="AB356" s="148"/>
      <c r="AC356" s="148"/>
      <c r="AD356" s="148"/>
      <c r="AE356" s="148"/>
      <c r="AF356" s="148"/>
      <c r="AG356" s="148"/>
      <c r="AH356" s="148"/>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c r="BI356" s="148"/>
      <c r="BJ356" s="148"/>
      <c r="BK356" s="148"/>
    </row>
    <row r="357" spans="1:63" hidden="1" x14ac:dyDescent="0.25">
      <c r="A357" s="19"/>
      <c r="E357" s="138">
        <f t="shared" si="42"/>
        <v>44440</v>
      </c>
      <c r="F357" s="63">
        <f t="shared" si="41"/>
        <v>2021</v>
      </c>
      <c r="G357" s="124">
        <f t="shared" si="43"/>
        <v>8</v>
      </c>
      <c r="H357" s="19"/>
      <c r="I357" s="407">
        <f t="shared" si="45"/>
        <v>86</v>
      </c>
      <c r="J357" s="177"/>
      <c r="K357" s="177"/>
      <c r="L357" s="177"/>
      <c r="M357" s="288">
        <f>IF(G357&gt;$G$264,"",(SUM(O$269)-SUM(O$271:O356))*(M$269/12))</f>
        <v>569.92652900686755</v>
      </c>
      <c r="N357" s="288"/>
      <c r="O357" s="408">
        <f t="shared" si="44"/>
        <v>316.77276318842371</v>
      </c>
      <c r="P357" s="148"/>
      <c r="Q357" s="177"/>
      <c r="R357" s="177"/>
      <c r="S357" s="177"/>
      <c r="T357" s="148"/>
      <c r="U357" s="148"/>
      <c r="V357" s="148"/>
      <c r="W357" s="148"/>
      <c r="X357" s="148"/>
      <c r="Y357" s="148"/>
      <c r="Z357" s="148"/>
      <c r="AA357" s="148"/>
      <c r="AB357" s="148"/>
      <c r="AC357" s="148"/>
      <c r="AD357" s="148"/>
      <c r="AE357" s="148"/>
      <c r="AF357" s="148"/>
      <c r="AG357" s="148"/>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c r="BI357" s="148"/>
      <c r="BJ357" s="148"/>
      <c r="BK357" s="148"/>
    </row>
    <row r="358" spans="1:63" hidden="1" x14ac:dyDescent="0.25">
      <c r="A358" s="19"/>
      <c r="E358" s="138">
        <f t="shared" si="42"/>
        <v>44470</v>
      </c>
      <c r="F358" s="63">
        <f t="shared" si="41"/>
        <v>2021</v>
      </c>
      <c r="G358" s="124">
        <f t="shared" si="43"/>
        <v>8</v>
      </c>
      <c r="H358" s="19"/>
      <c r="I358" s="407">
        <f t="shared" si="45"/>
        <v>87</v>
      </c>
      <c r="J358" s="177"/>
      <c r="K358" s="177"/>
      <c r="L358" s="177"/>
      <c r="M358" s="288">
        <f>IF(G358&gt;$G$264,"",(SUM(O$269)-SUM(O$271:O357))*(M$269/12))</f>
        <v>568.73863114491087</v>
      </c>
      <c r="N358" s="288"/>
      <c r="O358" s="408">
        <f t="shared" si="44"/>
        <v>317.96066105038039</v>
      </c>
      <c r="P358" s="148"/>
      <c r="Q358" s="177"/>
      <c r="R358" s="177"/>
      <c r="S358" s="177"/>
      <c r="T358" s="148"/>
      <c r="U358" s="148"/>
      <c r="V358" s="148"/>
      <c r="W358" s="148"/>
      <c r="X358" s="148"/>
      <c r="Y358" s="148"/>
      <c r="Z358" s="148"/>
      <c r="AA358" s="148"/>
      <c r="AB358" s="148"/>
      <c r="AC358" s="148"/>
      <c r="AD358" s="148"/>
      <c r="AE358" s="148"/>
      <c r="AF358" s="148"/>
      <c r="AG358" s="148"/>
      <c r="AH358" s="148"/>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c r="BI358" s="148"/>
      <c r="BJ358" s="148"/>
      <c r="BK358" s="148"/>
    </row>
    <row r="359" spans="1:63" hidden="1" x14ac:dyDescent="0.25">
      <c r="A359" s="19"/>
      <c r="E359" s="138">
        <f t="shared" si="42"/>
        <v>44501</v>
      </c>
      <c r="F359" s="63">
        <f t="shared" si="41"/>
        <v>2021</v>
      </c>
      <c r="G359" s="124">
        <f t="shared" si="43"/>
        <v>8</v>
      </c>
      <c r="H359" s="19"/>
      <c r="I359" s="407">
        <f t="shared" si="45"/>
        <v>88</v>
      </c>
      <c r="J359" s="177"/>
      <c r="K359" s="177"/>
      <c r="L359" s="177"/>
      <c r="M359" s="288">
        <f>IF(G359&gt;$G$264,"",(SUM(O$269)-SUM(O$271:O358))*(M$269/12))</f>
        <v>567.54627866597207</v>
      </c>
      <c r="N359" s="288"/>
      <c r="O359" s="408">
        <f t="shared" si="44"/>
        <v>319.1530135293192</v>
      </c>
      <c r="P359" s="148"/>
      <c r="Q359" s="177"/>
      <c r="R359" s="177"/>
      <c r="S359" s="177"/>
      <c r="T359" s="148"/>
      <c r="U359" s="148"/>
      <c r="V359" s="148"/>
      <c r="W359" s="148"/>
      <c r="X359" s="148"/>
      <c r="Y359" s="148"/>
      <c r="Z359" s="148"/>
      <c r="AA359" s="148"/>
      <c r="AB359" s="148"/>
      <c r="AC359" s="148"/>
      <c r="AD359" s="148"/>
      <c r="AE359" s="148"/>
      <c r="AF359" s="148"/>
      <c r="AG359" s="148"/>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c r="BI359" s="148"/>
      <c r="BJ359" s="148"/>
      <c r="BK359" s="148"/>
    </row>
    <row r="360" spans="1:63" hidden="1" x14ac:dyDescent="0.25">
      <c r="A360" s="19"/>
      <c r="E360" s="138">
        <f t="shared" si="42"/>
        <v>44531</v>
      </c>
      <c r="F360" s="63">
        <f t="shared" si="41"/>
        <v>2021</v>
      </c>
      <c r="G360" s="124">
        <f t="shared" si="43"/>
        <v>8</v>
      </c>
      <c r="H360" s="19"/>
      <c r="I360" s="407">
        <f t="shared" si="45"/>
        <v>89</v>
      </c>
      <c r="J360" s="177"/>
      <c r="K360" s="177"/>
      <c r="L360" s="177"/>
      <c r="M360" s="288">
        <f>IF(G360&gt;$G$264,"",(SUM(O$269)-SUM(O$271:O359))*(M$269/12))</f>
        <v>566.34945486523702</v>
      </c>
      <c r="N360" s="288"/>
      <c r="O360" s="408">
        <f t="shared" si="44"/>
        <v>320.34983733005424</v>
      </c>
      <c r="P360" s="148"/>
      <c r="Q360" s="177"/>
      <c r="R360" s="177"/>
      <c r="S360" s="177"/>
      <c r="T360" s="148"/>
      <c r="U360" s="148"/>
      <c r="V360" s="148"/>
      <c r="W360" s="148"/>
      <c r="X360" s="148"/>
      <c r="Y360" s="148"/>
      <c r="Z360" s="148"/>
      <c r="AA360" s="148"/>
      <c r="AB360" s="148"/>
      <c r="AC360" s="148"/>
      <c r="AD360" s="148"/>
      <c r="AE360" s="148"/>
      <c r="AF360" s="148"/>
      <c r="AG360" s="148"/>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c r="BI360" s="148"/>
      <c r="BJ360" s="148"/>
      <c r="BK360" s="148"/>
    </row>
    <row r="361" spans="1:63" hidden="1" x14ac:dyDescent="0.25">
      <c r="A361" s="19"/>
      <c r="E361" s="138">
        <f t="shared" si="42"/>
        <v>44562</v>
      </c>
      <c r="F361" s="63">
        <f t="shared" si="41"/>
        <v>2022</v>
      </c>
      <c r="G361" s="124">
        <f t="shared" si="43"/>
        <v>8</v>
      </c>
      <c r="H361" s="19"/>
      <c r="I361" s="407">
        <f t="shared" si="45"/>
        <v>90</v>
      </c>
      <c r="J361" s="177"/>
      <c r="K361" s="177"/>
      <c r="L361" s="177"/>
      <c r="M361" s="288">
        <f>IF(G361&gt;$G$264,"",(SUM(O$269)-SUM(O$271:O360))*(M$269/12))</f>
        <v>565.14814297524924</v>
      </c>
      <c r="N361" s="288"/>
      <c r="O361" s="408">
        <f t="shared" si="44"/>
        <v>321.55114922004202</v>
      </c>
      <c r="P361" s="148"/>
      <c r="Q361" s="177"/>
      <c r="R361" s="177"/>
      <c r="S361" s="177"/>
      <c r="T361" s="148"/>
      <c r="U361" s="148"/>
      <c r="V361" s="148"/>
      <c r="W361" s="148"/>
      <c r="X361" s="148"/>
      <c r="Y361" s="148"/>
      <c r="Z361" s="148"/>
      <c r="AA361" s="148"/>
      <c r="AB361" s="148"/>
      <c r="AC361" s="148"/>
      <c r="AD361" s="148"/>
      <c r="AE361" s="148"/>
      <c r="AF361" s="148"/>
      <c r="AG361" s="148"/>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c r="BI361" s="148"/>
      <c r="BJ361" s="148"/>
      <c r="BK361" s="148"/>
    </row>
    <row r="362" spans="1:63" hidden="1" x14ac:dyDescent="0.25">
      <c r="A362" s="19"/>
      <c r="E362" s="138">
        <f t="shared" si="42"/>
        <v>44593</v>
      </c>
      <c r="F362" s="63">
        <f t="shared" si="41"/>
        <v>2022</v>
      </c>
      <c r="G362" s="124">
        <f t="shared" si="43"/>
        <v>8</v>
      </c>
      <c r="H362" s="19"/>
      <c r="I362" s="407">
        <f t="shared" si="45"/>
        <v>91</v>
      </c>
      <c r="J362" s="177"/>
      <c r="K362" s="177"/>
      <c r="L362" s="177"/>
      <c r="M362" s="288">
        <f>IF(G362&gt;$G$264,"",(SUM(O$269)-SUM(O$271:O361))*(M$269/12))</f>
        <v>563.94232616567422</v>
      </c>
      <c r="N362" s="288"/>
      <c r="O362" s="408">
        <f t="shared" si="44"/>
        <v>322.75696602961705</v>
      </c>
      <c r="P362" s="148"/>
      <c r="Q362" s="177"/>
      <c r="R362" s="177"/>
      <c r="S362" s="177"/>
      <c r="T362" s="148"/>
      <c r="U362" s="148"/>
      <c r="V362" s="148"/>
      <c r="W362" s="148"/>
      <c r="X362" s="148"/>
      <c r="Y362" s="148"/>
      <c r="Z362" s="148"/>
      <c r="AA362" s="148"/>
      <c r="AB362" s="148"/>
      <c r="AC362" s="148"/>
      <c r="AD362" s="148"/>
      <c r="AE362" s="148"/>
      <c r="AF362" s="148"/>
      <c r="AG362" s="148"/>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c r="BI362" s="148"/>
      <c r="BJ362" s="148"/>
      <c r="BK362" s="148"/>
    </row>
    <row r="363" spans="1:63" hidden="1" x14ac:dyDescent="0.25">
      <c r="A363" s="19"/>
      <c r="E363" s="138">
        <f t="shared" si="42"/>
        <v>44621</v>
      </c>
      <c r="F363" s="63">
        <f t="shared" si="41"/>
        <v>2022</v>
      </c>
      <c r="G363" s="124">
        <f t="shared" si="43"/>
        <v>8</v>
      </c>
      <c r="H363" s="19"/>
      <c r="I363" s="407">
        <f t="shared" si="45"/>
        <v>92</v>
      </c>
      <c r="J363" s="177"/>
      <c r="K363" s="177"/>
      <c r="L363" s="177"/>
      <c r="M363" s="288">
        <f>IF(G363&gt;$G$264,"",(SUM(O$269)-SUM(O$271:O362))*(M$269/12))</f>
        <v>562.73198754306316</v>
      </c>
      <c r="N363" s="288"/>
      <c r="O363" s="408">
        <f t="shared" si="44"/>
        <v>323.96730465222811</v>
      </c>
      <c r="P363" s="148"/>
      <c r="Q363" s="177"/>
      <c r="R363" s="177"/>
      <c r="S363" s="177"/>
      <c r="T363" s="148"/>
      <c r="U363" s="148"/>
      <c r="V363" s="148"/>
      <c r="W363" s="148"/>
      <c r="X363" s="148"/>
      <c r="Y363" s="148"/>
      <c r="Z363" s="148"/>
      <c r="AA363" s="148"/>
      <c r="AB363" s="148"/>
      <c r="AC363" s="148"/>
      <c r="AD363" s="148"/>
      <c r="AE363" s="148"/>
      <c r="AF363" s="148"/>
      <c r="AG363" s="148"/>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c r="BI363" s="148"/>
      <c r="BJ363" s="148"/>
      <c r="BK363" s="148"/>
    </row>
    <row r="364" spans="1:63" hidden="1" x14ac:dyDescent="0.25">
      <c r="A364" s="19"/>
      <c r="E364" s="138">
        <f t="shared" si="42"/>
        <v>44652</v>
      </c>
      <c r="F364" s="63">
        <f t="shared" si="41"/>
        <v>2022</v>
      </c>
      <c r="G364" s="124">
        <f t="shared" si="43"/>
        <v>8</v>
      </c>
      <c r="H364" s="19"/>
      <c r="I364" s="407">
        <f t="shared" si="45"/>
        <v>93</v>
      </c>
      <c r="J364" s="177"/>
      <c r="K364" s="177"/>
      <c r="L364" s="177"/>
      <c r="M364" s="288">
        <f>IF(G364&gt;$G$264,"",(SUM(O$269)-SUM(O$271:O363))*(M$269/12))</f>
        <v>561.51711015061721</v>
      </c>
      <c r="N364" s="288"/>
      <c r="O364" s="408">
        <f t="shared" si="44"/>
        <v>325.18218204467405</v>
      </c>
      <c r="P364" s="148"/>
      <c r="Q364" s="177"/>
      <c r="R364" s="177"/>
      <c r="S364" s="177"/>
      <c r="T364" s="148"/>
      <c r="U364" s="148"/>
      <c r="V364" s="148"/>
      <c r="W364" s="148"/>
      <c r="X364" s="148"/>
      <c r="Y364" s="148"/>
      <c r="Z364" s="148"/>
      <c r="AA364" s="148"/>
      <c r="AB364" s="148"/>
      <c r="AC364" s="148"/>
      <c r="AD364" s="148"/>
      <c r="AE364" s="148"/>
      <c r="AF364" s="148"/>
      <c r="AG364" s="148"/>
      <c r="AH364" s="148"/>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c r="BI364" s="148"/>
      <c r="BJ364" s="148"/>
      <c r="BK364" s="148"/>
    </row>
    <row r="365" spans="1:63" hidden="1" x14ac:dyDescent="0.25">
      <c r="A365" s="19"/>
      <c r="E365" s="138">
        <f t="shared" si="42"/>
        <v>44682</v>
      </c>
      <c r="F365" s="63">
        <f t="shared" si="41"/>
        <v>2022</v>
      </c>
      <c r="G365" s="124">
        <f t="shared" si="43"/>
        <v>8</v>
      </c>
      <c r="H365" s="19"/>
      <c r="I365" s="407">
        <f t="shared" si="45"/>
        <v>94</v>
      </c>
      <c r="J365" s="177"/>
      <c r="K365" s="177"/>
      <c r="L365" s="177"/>
      <c r="M365" s="288">
        <f>IF(G365&gt;$G$264,"",(SUM(O$269)-SUM(O$271:O364))*(M$269/12))</f>
        <v>560.29767696794977</v>
      </c>
      <c r="N365" s="288"/>
      <c r="O365" s="408">
        <f t="shared" si="44"/>
        <v>326.40161522734149</v>
      </c>
      <c r="P365" s="148"/>
      <c r="Q365" s="177"/>
      <c r="R365" s="177"/>
      <c r="S365" s="177"/>
      <c r="T365" s="148"/>
      <c r="U365" s="148"/>
      <c r="V365" s="148"/>
      <c r="W365" s="148"/>
      <c r="X365" s="148"/>
      <c r="Y365" s="148"/>
      <c r="Z365" s="148"/>
      <c r="AA365" s="148"/>
      <c r="AB365" s="148"/>
      <c r="AC365" s="148"/>
      <c r="AD365" s="148"/>
      <c r="AE365" s="148"/>
      <c r="AF365" s="148"/>
      <c r="AG365" s="148"/>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c r="BI365" s="148"/>
      <c r="BJ365" s="148"/>
      <c r="BK365" s="148"/>
    </row>
    <row r="366" spans="1:63" hidden="1" x14ac:dyDescent="0.25">
      <c r="A366" s="19"/>
      <c r="E366" s="138">
        <f t="shared" si="42"/>
        <v>44713</v>
      </c>
      <c r="F366" s="63">
        <f t="shared" si="41"/>
        <v>2022</v>
      </c>
      <c r="G366" s="124">
        <f t="shared" si="43"/>
        <v>8</v>
      </c>
      <c r="H366" s="19"/>
      <c r="I366" s="407">
        <f t="shared" si="45"/>
        <v>95</v>
      </c>
      <c r="J366" s="177"/>
      <c r="K366" s="177"/>
      <c r="L366" s="177"/>
      <c r="M366" s="288">
        <f>IF(G366&gt;$G$264,"",(SUM(O$269)-SUM(O$271:O365))*(M$269/12))</f>
        <v>559.07367091084723</v>
      </c>
      <c r="N366" s="288"/>
      <c r="O366" s="408">
        <f t="shared" si="44"/>
        <v>327.62562128444404</v>
      </c>
      <c r="P366" s="148"/>
      <c r="Q366" s="177"/>
      <c r="R366" s="177"/>
      <c r="S366" s="177"/>
      <c r="T366" s="148"/>
      <c r="U366" s="148"/>
      <c r="V366" s="148"/>
      <c r="W366" s="148"/>
      <c r="X366" s="148"/>
      <c r="Y366" s="148"/>
      <c r="Z366" s="148"/>
      <c r="AA366" s="148"/>
      <c r="AB366" s="148"/>
      <c r="AC366" s="148"/>
      <c r="AD366" s="148"/>
      <c r="AE366" s="148"/>
      <c r="AF366" s="148"/>
      <c r="AG366" s="148"/>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c r="BI366" s="148"/>
      <c r="BJ366" s="148"/>
      <c r="BK366" s="148"/>
    </row>
    <row r="367" spans="1:63" hidden="1" x14ac:dyDescent="0.25">
      <c r="A367" s="19"/>
      <c r="E367" s="138">
        <f t="shared" si="42"/>
        <v>44743</v>
      </c>
      <c r="F367" s="63">
        <f t="shared" si="41"/>
        <v>2022</v>
      </c>
      <c r="G367" s="124">
        <f t="shared" si="43"/>
        <v>8</v>
      </c>
      <c r="H367" s="19"/>
      <c r="I367" s="407">
        <f t="shared" si="45"/>
        <v>96</v>
      </c>
      <c r="J367" s="177"/>
      <c r="K367" s="177"/>
      <c r="L367" s="177"/>
      <c r="M367" s="288">
        <f>IF(G367&gt;$G$264,"",(SUM(O$269)-SUM(O$271:O366))*(M$269/12))</f>
        <v>557.8450748310305</v>
      </c>
      <c r="N367" s="288"/>
      <c r="O367" s="408">
        <f t="shared" si="44"/>
        <v>328.85421736426076</v>
      </c>
      <c r="P367" s="148"/>
      <c r="Q367" s="177"/>
      <c r="R367" s="177"/>
      <c r="S367" s="177"/>
      <c r="T367" s="148"/>
      <c r="U367" s="148"/>
      <c r="V367" s="148"/>
      <c r="W367" s="148"/>
      <c r="X367" s="148"/>
      <c r="Y367" s="148"/>
      <c r="Z367" s="148"/>
      <c r="AA367" s="148"/>
      <c r="AB367" s="148"/>
      <c r="AC367" s="148"/>
      <c r="AD367" s="148"/>
      <c r="AE367" s="148"/>
      <c r="AF367" s="148"/>
      <c r="AG367" s="148"/>
      <c r="AH367" s="148"/>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c r="BI367" s="148"/>
      <c r="BJ367" s="148"/>
      <c r="BK367" s="148"/>
    </row>
    <row r="368" spans="1:63" hidden="1" x14ac:dyDescent="0.25">
      <c r="A368" s="19"/>
      <c r="E368" s="138">
        <f t="shared" si="42"/>
        <v>44774</v>
      </c>
      <c r="F368" s="63">
        <f t="shared" si="41"/>
        <v>2022</v>
      </c>
      <c r="G368" s="124">
        <f t="shared" si="43"/>
        <v>9</v>
      </c>
      <c r="H368" s="19"/>
      <c r="I368" s="407">
        <f t="shared" si="45"/>
        <v>97</v>
      </c>
      <c r="J368" s="177"/>
      <c r="K368" s="177"/>
      <c r="L368" s="177"/>
      <c r="M368" s="288">
        <f>IF(G368&gt;$G$264,"",(SUM(O$269)-SUM(O$271:O367))*(M$269/12))</f>
        <v>556.61187151591446</v>
      </c>
      <c r="N368" s="288"/>
      <c r="O368" s="408">
        <f t="shared" si="44"/>
        <v>330.08742067937681</v>
      </c>
      <c r="P368" s="148"/>
      <c r="Q368" s="177"/>
      <c r="R368" s="177"/>
      <c r="S368" s="177"/>
      <c r="T368" s="148"/>
      <c r="U368" s="148"/>
      <c r="V368" s="148"/>
      <c r="W368" s="148"/>
      <c r="X368" s="148"/>
      <c r="Y368" s="148"/>
      <c r="Z368" s="148"/>
      <c r="AA368" s="148"/>
      <c r="AB368" s="148"/>
      <c r="AC368" s="148"/>
      <c r="AD368" s="148"/>
      <c r="AE368" s="148"/>
      <c r="AF368" s="148"/>
      <c r="AG368" s="148"/>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c r="BI368" s="148"/>
      <c r="BJ368" s="148"/>
      <c r="BK368" s="148"/>
    </row>
    <row r="369" spans="1:63" hidden="1" x14ac:dyDescent="0.25">
      <c r="A369" s="19"/>
      <c r="E369" s="138">
        <f t="shared" si="42"/>
        <v>44805</v>
      </c>
      <c r="F369" s="63">
        <f t="shared" si="41"/>
        <v>2022</v>
      </c>
      <c r="G369" s="124">
        <f t="shared" si="43"/>
        <v>9</v>
      </c>
      <c r="H369" s="19"/>
      <c r="I369" s="407">
        <f t="shared" si="45"/>
        <v>98</v>
      </c>
      <c r="J369" s="177"/>
      <c r="K369" s="177"/>
      <c r="L369" s="177"/>
      <c r="M369" s="288">
        <f>IF(G369&gt;$G$264,"",(SUM(O$269)-SUM(O$271:O368))*(M$269/12))</f>
        <v>555.3740436883669</v>
      </c>
      <c r="N369" s="288"/>
      <c r="O369" s="408">
        <f t="shared" si="44"/>
        <v>331.32524850692437</v>
      </c>
      <c r="P369" s="148"/>
      <c r="Q369" s="177"/>
      <c r="R369" s="177"/>
      <c r="S369" s="177"/>
      <c r="T369" s="148"/>
      <c r="U369" s="148"/>
      <c r="V369" s="148"/>
      <c r="W369" s="148"/>
      <c r="X369" s="148"/>
      <c r="Y369" s="148"/>
      <c r="Z369" s="148"/>
      <c r="AA369" s="148"/>
      <c r="AB369" s="148"/>
      <c r="AC369" s="148"/>
      <c r="AD369" s="148"/>
      <c r="AE369" s="148"/>
      <c r="AF369" s="148"/>
      <c r="AG369" s="148"/>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c r="BI369" s="148"/>
      <c r="BJ369" s="148"/>
      <c r="BK369" s="148"/>
    </row>
    <row r="370" spans="1:63" hidden="1" x14ac:dyDescent="0.25">
      <c r="A370" s="19"/>
      <c r="E370" s="138">
        <f t="shared" si="42"/>
        <v>44835</v>
      </c>
      <c r="F370" s="63">
        <f t="shared" si="41"/>
        <v>2022</v>
      </c>
      <c r="G370" s="124">
        <f t="shared" si="43"/>
        <v>9</v>
      </c>
      <c r="H370" s="19"/>
      <c r="I370" s="407">
        <f t="shared" si="45"/>
        <v>99</v>
      </c>
      <c r="J370" s="177"/>
      <c r="K370" s="177"/>
      <c r="L370" s="177"/>
      <c r="M370" s="288">
        <f>IF(G370&gt;$G$264,"",(SUM(O$269)-SUM(O$271:O369))*(M$269/12))</f>
        <v>554.13157400646583</v>
      </c>
      <c r="N370" s="288"/>
      <c r="O370" s="408">
        <f t="shared" si="44"/>
        <v>332.56771818882544</v>
      </c>
      <c r="P370" s="148"/>
      <c r="Q370" s="177"/>
      <c r="R370" s="177"/>
      <c r="S370" s="177"/>
      <c r="T370" s="148"/>
      <c r="U370" s="148"/>
      <c r="V370" s="148"/>
      <c r="W370" s="148"/>
      <c r="X370" s="148"/>
      <c r="Y370" s="148"/>
      <c r="Z370" s="148"/>
      <c r="AA370" s="148"/>
      <c r="AB370" s="148"/>
      <c r="AC370" s="148"/>
      <c r="AD370" s="148"/>
      <c r="AE370" s="148"/>
      <c r="AF370" s="148"/>
      <c r="AG370" s="148"/>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c r="BI370" s="148"/>
      <c r="BJ370" s="148"/>
      <c r="BK370" s="148"/>
    </row>
    <row r="371" spans="1:63" hidden="1" x14ac:dyDescent="0.25">
      <c r="A371" s="19"/>
      <c r="E371" s="138">
        <f t="shared" si="42"/>
        <v>44866</v>
      </c>
      <c r="F371" s="63">
        <f t="shared" si="41"/>
        <v>2022</v>
      </c>
      <c r="G371" s="124">
        <f t="shared" si="43"/>
        <v>9</v>
      </c>
      <c r="H371" s="19"/>
      <c r="I371" s="407">
        <f t="shared" si="45"/>
        <v>100</v>
      </c>
      <c r="J371" s="177"/>
      <c r="K371" s="177"/>
      <c r="L371" s="177"/>
      <c r="M371" s="288">
        <f>IF(G371&gt;$G$264,"",(SUM(O$269)-SUM(O$271:O370))*(M$269/12))</f>
        <v>552.88444506325789</v>
      </c>
      <c r="N371" s="288"/>
      <c r="O371" s="408">
        <f t="shared" si="44"/>
        <v>333.81484713203338</v>
      </c>
      <c r="P371" s="148"/>
      <c r="Q371" s="177"/>
      <c r="R371" s="177"/>
      <c r="S371" s="177"/>
      <c r="T371" s="148"/>
      <c r="U371" s="148"/>
      <c r="V371" s="148"/>
      <c r="W371" s="148"/>
      <c r="X371" s="148"/>
      <c r="Y371" s="148"/>
      <c r="Z371" s="148"/>
      <c r="AA371" s="148"/>
      <c r="AB371" s="148"/>
      <c r="AC371" s="148"/>
      <c r="AD371" s="148"/>
      <c r="AE371" s="148"/>
      <c r="AF371" s="148"/>
      <c r="AG371" s="148"/>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c r="BI371" s="148"/>
      <c r="BJ371" s="148"/>
      <c r="BK371" s="148"/>
    </row>
    <row r="372" spans="1:63" hidden="1" x14ac:dyDescent="0.25">
      <c r="A372" s="19"/>
      <c r="E372" s="138">
        <f t="shared" si="42"/>
        <v>44896</v>
      </c>
      <c r="F372" s="63">
        <f t="shared" si="41"/>
        <v>2022</v>
      </c>
      <c r="G372" s="124">
        <f t="shared" si="43"/>
        <v>9</v>
      </c>
      <c r="H372" s="19"/>
      <c r="I372" s="407">
        <f t="shared" si="45"/>
        <v>101</v>
      </c>
      <c r="J372" s="177"/>
      <c r="K372" s="177"/>
      <c r="L372" s="177"/>
      <c r="M372" s="288">
        <f>IF(G372&gt;$G$264,"",(SUM(O$269)-SUM(O$271:O371))*(M$269/12))</f>
        <v>551.63263938651266</v>
      </c>
      <c r="N372" s="288"/>
      <c r="O372" s="408">
        <f t="shared" si="44"/>
        <v>335.0666528087786</v>
      </c>
      <c r="P372" s="148"/>
      <c r="Q372" s="177"/>
      <c r="R372" s="177"/>
      <c r="S372" s="177"/>
      <c r="T372" s="148"/>
      <c r="U372" s="148"/>
      <c r="V372" s="148"/>
      <c r="W372" s="148"/>
      <c r="X372" s="148"/>
      <c r="Y372" s="148"/>
      <c r="Z372" s="148"/>
      <c r="AA372" s="148"/>
      <c r="AB372" s="148"/>
      <c r="AC372" s="148"/>
      <c r="AD372" s="148"/>
      <c r="AE372" s="148"/>
      <c r="AF372" s="148"/>
      <c r="AG372" s="148"/>
      <c r="AH372" s="148"/>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c r="BI372" s="148"/>
      <c r="BJ372" s="148"/>
      <c r="BK372" s="148"/>
    </row>
    <row r="373" spans="1:63" hidden="1" x14ac:dyDescent="0.25">
      <c r="A373" s="19"/>
      <c r="E373" s="138">
        <f t="shared" si="42"/>
        <v>44927</v>
      </c>
      <c r="F373" s="63">
        <f t="shared" si="41"/>
        <v>2023</v>
      </c>
      <c r="G373" s="124">
        <f t="shared" si="43"/>
        <v>9</v>
      </c>
      <c r="H373" s="19"/>
      <c r="I373" s="407">
        <f t="shared" si="45"/>
        <v>102</v>
      </c>
      <c r="J373" s="177"/>
      <c r="K373" s="177"/>
      <c r="L373" s="177"/>
      <c r="M373" s="288">
        <f>IF(G373&gt;$G$264,"",(SUM(O$269)-SUM(O$271:O372))*(M$269/12))</f>
        <v>550.37613943847975</v>
      </c>
      <c r="N373" s="288"/>
      <c r="O373" s="408">
        <f t="shared" si="44"/>
        <v>336.32315275681151</v>
      </c>
      <c r="P373" s="148"/>
      <c r="Q373" s="177"/>
      <c r="R373" s="177"/>
      <c r="S373" s="177"/>
      <c r="T373" s="148"/>
      <c r="U373" s="148"/>
      <c r="V373" s="148"/>
      <c r="W373" s="148"/>
      <c r="X373" s="148"/>
      <c r="Y373" s="148"/>
      <c r="Z373" s="148"/>
      <c r="AA373" s="148"/>
      <c r="AB373" s="148"/>
      <c r="AC373" s="148"/>
      <c r="AD373" s="148"/>
      <c r="AE373" s="148"/>
      <c r="AF373" s="148"/>
      <c r="AG373" s="148"/>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c r="BI373" s="148"/>
      <c r="BJ373" s="148"/>
      <c r="BK373" s="148"/>
    </row>
    <row r="374" spans="1:63" hidden="1" x14ac:dyDescent="0.25">
      <c r="A374" s="19"/>
      <c r="E374" s="138">
        <f t="shared" si="42"/>
        <v>44958</v>
      </c>
      <c r="F374" s="63">
        <f t="shared" si="41"/>
        <v>2023</v>
      </c>
      <c r="G374" s="124">
        <f t="shared" si="43"/>
        <v>9</v>
      </c>
      <c r="H374" s="19"/>
      <c r="I374" s="407">
        <f t="shared" si="45"/>
        <v>103</v>
      </c>
      <c r="J374" s="177"/>
      <c r="K374" s="177"/>
      <c r="L374" s="177"/>
      <c r="M374" s="288">
        <f>IF(G374&gt;$G$264,"",(SUM(O$269)-SUM(O$271:O373))*(M$269/12))</f>
        <v>549.1149276156417</v>
      </c>
      <c r="N374" s="288"/>
      <c r="O374" s="408">
        <f t="shared" si="44"/>
        <v>337.58436457964956</v>
      </c>
      <c r="P374" s="148"/>
      <c r="Q374" s="177"/>
      <c r="R374" s="177"/>
      <c r="S374" s="177"/>
      <c r="T374" s="148"/>
      <c r="U374" s="148"/>
      <c r="V374" s="148"/>
      <c r="W374" s="148"/>
      <c r="X374" s="148"/>
      <c r="Y374" s="148"/>
      <c r="Z374" s="148"/>
      <c r="AA374" s="148"/>
      <c r="AB374" s="148"/>
      <c r="AC374" s="148"/>
      <c r="AD374" s="148"/>
      <c r="AE374" s="148"/>
      <c r="AF374" s="148"/>
      <c r="AG374" s="148"/>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c r="BI374" s="148"/>
      <c r="BJ374" s="148"/>
      <c r="BK374" s="148"/>
    </row>
    <row r="375" spans="1:63" hidden="1" x14ac:dyDescent="0.25">
      <c r="A375" s="19"/>
      <c r="E375" s="138">
        <f t="shared" si="42"/>
        <v>44986</v>
      </c>
      <c r="F375" s="63">
        <f t="shared" si="41"/>
        <v>2023</v>
      </c>
      <c r="G375" s="124">
        <f t="shared" si="43"/>
        <v>9</v>
      </c>
      <c r="H375" s="19"/>
      <c r="I375" s="407">
        <f t="shared" si="45"/>
        <v>104</v>
      </c>
      <c r="J375" s="177"/>
      <c r="K375" s="177"/>
      <c r="L375" s="177"/>
      <c r="M375" s="288">
        <f>IF(G375&gt;$G$264,"",(SUM(O$269)-SUM(O$271:O374))*(M$269/12))</f>
        <v>547.84898624846812</v>
      </c>
      <c r="N375" s="288"/>
      <c r="O375" s="408">
        <f t="shared" si="44"/>
        <v>338.85030594682314</v>
      </c>
      <c r="P375" s="148"/>
      <c r="Q375" s="177"/>
      <c r="R375" s="177"/>
      <c r="S375" s="177"/>
      <c r="T375" s="148"/>
      <c r="U375" s="148"/>
      <c r="V375" s="148"/>
      <c r="W375" s="148"/>
      <c r="X375" s="148"/>
      <c r="Y375" s="148"/>
      <c r="Z375" s="148"/>
      <c r="AA375" s="148"/>
      <c r="AB375" s="148"/>
      <c r="AC375" s="148"/>
      <c r="AD375" s="148"/>
      <c r="AE375" s="148"/>
      <c r="AF375" s="148"/>
      <c r="AG375" s="148"/>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c r="BI375" s="148"/>
      <c r="BJ375" s="148"/>
      <c r="BK375" s="148"/>
    </row>
    <row r="376" spans="1:63" hidden="1" x14ac:dyDescent="0.25">
      <c r="A376" s="19"/>
      <c r="E376" s="138">
        <f t="shared" si="42"/>
        <v>45017</v>
      </c>
      <c r="F376" s="63">
        <f t="shared" si="41"/>
        <v>2023</v>
      </c>
      <c r="G376" s="124">
        <f t="shared" si="43"/>
        <v>9</v>
      </c>
      <c r="H376" s="19"/>
      <c r="I376" s="407">
        <f t="shared" si="45"/>
        <v>105</v>
      </c>
      <c r="J376" s="177"/>
      <c r="K376" s="177"/>
      <c r="L376" s="177"/>
      <c r="M376" s="288">
        <f>IF(G376&gt;$G$264,"",(SUM(O$269)-SUM(O$271:O375))*(M$269/12))</f>
        <v>546.57829760116749</v>
      </c>
      <c r="N376" s="288"/>
      <c r="O376" s="408">
        <f t="shared" si="44"/>
        <v>340.12099459412377</v>
      </c>
      <c r="P376" s="148"/>
      <c r="Q376" s="177"/>
      <c r="R376" s="177"/>
      <c r="S376" s="177"/>
      <c r="T376" s="148"/>
      <c r="U376" s="148"/>
      <c r="V376" s="148"/>
      <c r="W376" s="148"/>
      <c r="X376" s="148"/>
      <c r="Y376" s="148"/>
      <c r="Z376" s="148"/>
      <c r="AA376" s="148"/>
      <c r="AB376" s="148"/>
      <c r="AC376" s="148"/>
      <c r="AD376" s="148"/>
      <c r="AE376" s="148"/>
      <c r="AF376" s="148"/>
      <c r="AG376" s="148"/>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c r="BI376" s="148"/>
      <c r="BJ376" s="148"/>
      <c r="BK376" s="148"/>
    </row>
    <row r="377" spans="1:63" hidden="1" x14ac:dyDescent="0.25">
      <c r="A377" s="19"/>
      <c r="E377" s="138">
        <f t="shared" si="42"/>
        <v>45047</v>
      </c>
      <c r="F377" s="63">
        <f t="shared" si="41"/>
        <v>2023</v>
      </c>
      <c r="G377" s="124">
        <f t="shared" si="43"/>
        <v>9</v>
      </c>
      <c r="H377" s="19"/>
      <c r="I377" s="407">
        <f t="shared" si="45"/>
        <v>106</v>
      </c>
      <c r="J377" s="177"/>
      <c r="K377" s="177"/>
      <c r="L377" s="177"/>
      <c r="M377" s="288">
        <f>IF(G377&gt;$G$264,"",(SUM(O$269)-SUM(O$271:O376))*(M$269/12))</f>
        <v>545.30284387143945</v>
      </c>
      <c r="N377" s="288"/>
      <c r="O377" s="408">
        <f t="shared" si="44"/>
        <v>341.39644832385181</v>
      </c>
      <c r="P377" s="148"/>
      <c r="Q377" s="177"/>
      <c r="R377" s="177"/>
      <c r="S377" s="177"/>
      <c r="T377" s="148"/>
      <c r="U377" s="148"/>
      <c r="V377" s="148"/>
      <c r="W377" s="148"/>
      <c r="X377" s="148"/>
      <c r="Y377" s="148"/>
      <c r="Z377" s="148"/>
      <c r="AA377" s="148"/>
      <c r="AB377" s="148"/>
      <c r="AC377" s="148"/>
      <c r="AD377" s="148"/>
      <c r="AE377" s="148"/>
      <c r="AF377" s="148"/>
      <c r="AG377" s="148"/>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c r="BI377" s="148"/>
      <c r="BJ377" s="148"/>
      <c r="BK377" s="148"/>
    </row>
    <row r="378" spans="1:63" hidden="1" x14ac:dyDescent="0.25">
      <c r="A378" s="19"/>
      <c r="E378" s="138">
        <f t="shared" si="42"/>
        <v>45078</v>
      </c>
      <c r="F378" s="63">
        <f t="shared" si="41"/>
        <v>2023</v>
      </c>
      <c r="G378" s="124">
        <f t="shared" si="43"/>
        <v>9</v>
      </c>
      <c r="H378" s="19"/>
      <c r="I378" s="407">
        <f t="shared" si="45"/>
        <v>107</v>
      </c>
      <c r="J378" s="177"/>
      <c r="K378" s="177"/>
      <c r="L378" s="177"/>
      <c r="M378" s="288">
        <f>IF(G378&gt;$G$264,"",(SUM(O$269)-SUM(O$271:O377))*(M$269/12))</f>
        <v>544.02260719022502</v>
      </c>
      <c r="N378" s="288"/>
      <c r="O378" s="408">
        <f t="shared" si="44"/>
        <v>342.67668500506625</v>
      </c>
      <c r="P378" s="148"/>
      <c r="Q378" s="177"/>
      <c r="R378" s="177"/>
      <c r="S378" s="177"/>
      <c r="T378" s="148"/>
      <c r="U378" s="148"/>
      <c r="V378" s="148"/>
      <c r="W378" s="148"/>
      <c r="X378" s="148"/>
      <c r="Y378" s="148"/>
      <c r="Z378" s="148"/>
      <c r="AA378" s="148"/>
      <c r="AB378" s="148"/>
      <c r="AC378" s="148"/>
      <c r="AD378" s="148"/>
      <c r="AE378" s="148"/>
      <c r="AF378" s="148"/>
      <c r="AG378" s="148"/>
      <c r="AH378" s="148"/>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c r="BI378" s="148"/>
      <c r="BJ378" s="148"/>
      <c r="BK378" s="148"/>
    </row>
    <row r="379" spans="1:63" hidden="1" x14ac:dyDescent="0.25">
      <c r="A379" s="19"/>
      <c r="E379" s="138">
        <f t="shared" si="42"/>
        <v>45108</v>
      </c>
      <c r="F379" s="63">
        <f t="shared" si="41"/>
        <v>2023</v>
      </c>
      <c r="G379" s="124">
        <f t="shared" si="43"/>
        <v>9</v>
      </c>
      <c r="H379" s="19"/>
      <c r="I379" s="407">
        <f t="shared" si="45"/>
        <v>108</v>
      </c>
      <c r="J379" s="177"/>
      <c r="K379" s="177"/>
      <c r="L379" s="177"/>
      <c r="M379" s="288">
        <f>IF(G379&gt;$G$264,"",(SUM(O$269)-SUM(O$271:O378))*(M$269/12))</f>
        <v>542.73756962145615</v>
      </c>
      <c r="N379" s="288"/>
      <c r="O379" s="408">
        <f t="shared" si="44"/>
        <v>343.96172257383512</v>
      </c>
      <c r="P379" s="148"/>
      <c r="Q379" s="177"/>
      <c r="R379" s="177"/>
      <c r="S379" s="177"/>
      <c r="T379" s="148"/>
      <c r="U379" s="148"/>
      <c r="V379" s="148"/>
      <c r="W379" s="148"/>
      <c r="X379" s="148"/>
      <c r="Y379" s="148"/>
      <c r="Z379" s="148"/>
      <c r="AA379" s="148"/>
      <c r="AB379" s="148"/>
      <c r="AC379" s="148"/>
      <c r="AD379" s="148"/>
      <c r="AE379" s="148"/>
      <c r="AF379" s="148"/>
      <c r="AG379" s="148"/>
      <c r="AH379" s="148"/>
      <c r="AI379" s="148"/>
      <c r="AJ379" s="148"/>
      <c r="AK379" s="148"/>
      <c r="AL379" s="148"/>
      <c r="AM379" s="148"/>
      <c r="AN379" s="148"/>
      <c r="AO379" s="148"/>
      <c r="AP379" s="148"/>
      <c r="AQ379" s="148"/>
      <c r="AR379" s="148"/>
      <c r="AS379" s="148"/>
      <c r="AT379" s="148"/>
      <c r="AU379" s="148"/>
      <c r="AV379" s="148"/>
      <c r="AW379" s="148"/>
      <c r="AX379" s="148"/>
      <c r="AY379" s="148"/>
      <c r="AZ379" s="148"/>
      <c r="BA379" s="148"/>
      <c r="BB379" s="148"/>
      <c r="BC379" s="148"/>
      <c r="BD379" s="148"/>
      <c r="BE379" s="148"/>
      <c r="BF379" s="148"/>
      <c r="BG379" s="148"/>
      <c r="BH379" s="148"/>
      <c r="BI379" s="148"/>
      <c r="BJ379" s="148"/>
      <c r="BK379" s="148"/>
    </row>
    <row r="380" spans="1:63" hidden="1" x14ac:dyDescent="0.25">
      <c r="A380" s="19"/>
      <c r="E380" s="138">
        <f t="shared" si="42"/>
        <v>45139</v>
      </c>
      <c r="F380" s="63">
        <f t="shared" si="41"/>
        <v>2023</v>
      </c>
      <c r="G380" s="124">
        <f t="shared" si="43"/>
        <v>10</v>
      </c>
      <c r="H380" s="19"/>
      <c r="I380" s="407">
        <f t="shared" si="45"/>
        <v>109</v>
      </c>
      <c r="J380" s="177"/>
      <c r="K380" s="177"/>
      <c r="L380" s="177"/>
      <c r="M380" s="288">
        <f>IF(G380&gt;$G$264,"",(SUM(O$269)-SUM(O$271:O379))*(M$269/12))</f>
        <v>541.44771316180413</v>
      </c>
      <c r="N380" s="288"/>
      <c r="O380" s="408">
        <f t="shared" si="44"/>
        <v>345.25157903348713</v>
      </c>
      <c r="P380" s="148"/>
      <c r="Q380" s="177"/>
      <c r="R380" s="177"/>
      <c r="S380" s="177"/>
      <c r="T380" s="148"/>
      <c r="U380" s="148"/>
      <c r="V380" s="148"/>
      <c r="W380" s="148"/>
      <c r="X380" s="148"/>
      <c r="Y380" s="148"/>
      <c r="Z380" s="148"/>
      <c r="AA380" s="148"/>
      <c r="AB380" s="148"/>
      <c r="AC380" s="148"/>
      <c r="AD380" s="148"/>
      <c r="AE380" s="148"/>
      <c r="AF380" s="148"/>
      <c r="AG380" s="148"/>
      <c r="AH380" s="148"/>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c r="BI380" s="148"/>
      <c r="BJ380" s="148"/>
      <c r="BK380" s="148"/>
    </row>
    <row r="381" spans="1:63" hidden="1" x14ac:dyDescent="0.25">
      <c r="A381" s="19"/>
      <c r="E381" s="138">
        <f t="shared" si="42"/>
        <v>45170</v>
      </c>
      <c r="F381" s="63">
        <f t="shared" si="41"/>
        <v>2023</v>
      </c>
      <c r="G381" s="124">
        <f t="shared" si="43"/>
        <v>10</v>
      </c>
      <c r="H381" s="19"/>
      <c r="I381" s="407">
        <f t="shared" si="45"/>
        <v>110</v>
      </c>
      <c r="J381" s="177"/>
      <c r="K381" s="177"/>
      <c r="L381" s="177"/>
      <c r="M381" s="288">
        <f>IF(G381&gt;$G$264,"",(SUM(O$269)-SUM(O$271:O380))*(M$269/12))</f>
        <v>540.15301974042859</v>
      </c>
      <c r="N381" s="288"/>
      <c r="O381" s="408">
        <f t="shared" si="44"/>
        <v>346.54627245486267</v>
      </c>
      <c r="P381" s="148"/>
      <c r="Q381" s="177"/>
      <c r="R381" s="177"/>
      <c r="S381" s="177"/>
      <c r="T381" s="148"/>
      <c r="U381" s="148"/>
      <c r="V381" s="148"/>
      <c r="W381" s="148"/>
      <c r="X381" s="148"/>
      <c r="Y381" s="148"/>
      <c r="Z381" s="148"/>
      <c r="AA381" s="148"/>
      <c r="AB381" s="148"/>
      <c r="AC381" s="148"/>
      <c r="AD381" s="148"/>
      <c r="AE381" s="148"/>
      <c r="AF381" s="148"/>
      <c r="AG381" s="148"/>
      <c r="AH381" s="148"/>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c r="BI381" s="148"/>
      <c r="BJ381" s="148"/>
      <c r="BK381" s="148"/>
    </row>
    <row r="382" spans="1:63" hidden="1" x14ac:dyDescent="0.25">
      <c r="A382" s="19"/>
      <c r="E382" s="138">
        <f t="shared" si="42"/>
        <v>45200</v>
      </c>
      <c r="F382" s="63">
        <f t="shared" si="41"/>
        <v>2023</v>
      </c>
      <c r="G382" s="124">
        <f t="shared" si="43"/>
        <v>10</v>
      </c>
      <c r="H382" s="19"/>
      <c r="I382" s="407">
        <f t="shared" si="45"/>
        <v>111</v>
      </c>
      <c r="J382" s="177"/>
      <c r="K382" s="177"/>
      <c r="L382" s="177"/>
      <c r="M382" s="288">
        <f>IF(G382&gt;$G$264,"",(SUM(O$269)-SUM(O$271:O381))*(M$269/12))</f>
        <v>538.85347121872292</v>
      </c>
      <c r="N382" s="288"/>
      <c r="O382" s="408">
        <f t="shared" si="44"/>
        <v>347.84582097656835</v>
      </c>
      <c r="P382" s="148"/>
      <c r="Q382" s="177"/>
      <c r="R382" s="177"/>
      <c r="S382" s="177"/>
      <c r="T382" s="148"/>
      <c r="U382" s="148"/>
      <c r="V382" s="148"/>
      <c r="W382" s="148"/>
      <c r="X382" s="148"/>
      <c r="Y382" s="148"/>
      <c r="Z382" s="148"/>
      <c r="AA382" s="148"/>
      <c r="AB382" s="148"/>
      <c r="AC382" s="148"/>
      <c r="AD382" s="148"/>
      <c r="AE382" s="148"/>
      <c r="AF382" s="148"/>
      <c r="AG382" s="148"/>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c r="BI382" s="148"/>
      <c r="BJ382" s="148"/>
      <c r="BK382" s="148"/>
    </row>
    <row r="383" spans="1:63" hidden="1" x14ac:dyDescent="0.25">
      <c r="A383" s="19"/>
      <c r="E383" s="138">
        <f t="shared" si="42"/>
        <v>45231</v>
      </c>
      <c r="F383" s="63">
        <f t="shared" si="41"/>
        <v>2023</v>
      </c>
      <c r="G383" s="124">
        <f t="shared" si="43"/>
        <v>10</v>
      </c>
      <c r="H383" s="19"/>
      <c r="I383" s="407">
        <f t="shared" si="45"/>
        <v>112</v>
      </c>
      <c r="J383" s="177"/>
      <c r="K383" s="177"/>
      <c r="L383" s="177"/>
      <c r="M383" s="288">
        <f>IF(G383&gt;$G$264,"",(SUM(O$269)-SUM(O$271:O382))*(M$269/12))</f>
        <v>537.54904939006076</v>
      </c>
      <c r="N383" s="288"/>
      <c r="O383" s="408">
        <f t="shared" si="44"/>
        <v>349.1502428052305</v>
      </c>
      <c r="P383" s="148"/>
      <c r="Q383" s="177"/>
      <c r="R383" s="177"/>
      <c r="S383" s="177"/>
      <c r="T383" s="148"/>
      <c r="U383" s="148"/>
      <c r="V383" s="148"/>
      <c r="W383" s="148"/>
      <c r="X383" s="148"/>
      <c r="Y383" s="148"/>
      <c r="Z383" s="148"/>
      <c r="AA383" s="148"/>
      <c r="AB383" s="148"/>
      <c r="AC383" s="148"/>
      <c r="AD383" s="148"/>
      <c r="AE383" s="148"/>
      <c r="AF383" s="148"/>
      <c r="AG383" s="148"/>
      <c r="AH383" s="148"/>
      <c r="AI383" s="148"/>
      <c r="AJ383" s="148"/>
      <c r="AK383" s="148"/>
      <c r="AL383" s="148"/>
      <c r="AM383" s="148"/>
      <c r="AN383" s="148"/>
      <c r="AO383" s="148"/>
      <c r="AP383" s="148"/>
      <c r="AQ383" s="148"/>
      <c r="AR383" s="148"/>
      <c r="AS383" s="148"/>
      <c r="AT383" s="148"/>
      <c r="AU383" s="148"/>
      <c r="AV383" s="148"/>
      <c r="AW383" s="148"/>
      <c r="AX383" s="148"/>
      <c r="AY383" s="148"/>
      <c r="AZ383" s="148"/>
      <c r="BA383" s="148"/>
      <c r="BB383" s="148"/>
      <c r="BC383" s="148"/>
      <c r="BD383" s="148"/>
      <c r="BE383" s="148"/>
      <c r="BF383" s="148"/>
      <c r="BG383" s="148"/>
      <c r="BH383" s="148"/>
      <c r="BI383" s="148"/>
      <c r="BJ383" s="148"/>
      <c r="BK383" s="148"/>
    </row>
    <row r="384" spans="1:63" hidden="1" x14ac:dyDescent="0.25">
      <c r="A384" s="19"/>
      <c r="E384" s="138">
        <f t="shared" si="42"/>
        <v>45261</v>
      </c>
      <c r="F384" s="63">
        <f t="shared" si="41"/>
        <v>2023</v>
      </c>
      <c r="G384" s="124">
        <f t="shared" si="43"/>
        <v>10</v>
      </c>
      <c r="H384" s="19"/>
      <c r="I384" s="407">
        <f t="shared" si="45"/>
        <v>113</v>
      </c>
      <c r="J384" s="177"/>
      <c r="K384" s="177"/>
      <c r="L384" s="177"/>
      <c r="M384" s="288">
        <f>IF(G384&gt;$G$264,"",(SUM(O$269)-SUM(O$271:O383))*(M$269/12))</f>
        <v>536.23973597954114</v>
      </c>
      <c r="N384" s="288"/>
      <c r="O384" s="408">
        <f t="shared" si="44"/>
        <v>350.45955621575013</v>
      </c>
      <c r="P384" s="148"/>
      <c r="Q384" s="177"/>
      <c r="R384" s="177"/>
      <c r="S384" s="177"/>
      <c r="T384" s="148"/>
      <c r="U384" s="148"/>
      <c r="V384" s="148"/>
      <c r="W384" s="148"/>
      <c r="X384" s="148"/>
      <c r="Y384" s="148"/>
      <c r="Z384" s="148"/>
      <c r="AA384" s="148"/>
      <c r="AB384" s="148"/>
      <c r="AC384" s="148"/>
      <c r="AD384" s="148"/>
      <c r="AE384" s="148"/>
      <c r="AF384" s="148"/>
      <c r="AG384" s="148"/>
      <c r="AH384" s="148"/>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c r="BI384" s="148"/>
      <c r="BJ384" s="148"/>
      <c r="BK384" s="148"/>
    </row>
    <row r="385" spans="1:63" hidden="1" x14ac:dyDescent="0.25">
      <c r="A385" s="19"/>
      <c r="E385" s="138">
        <f t="shared" si="42"/>
        <v>45292</v>
      </c>
      <c r="F385" s="63">
        <f t="shared" si="41"/>
        <v>2024</v>
      </c>
      <c r="G385" s="124">
        <f t="shared" si="43"/>
        <v>10</v>
      </c>
      <c r="H385" s="19"/>
      <c r="I385" s="407">
        <f t="shared" si="45"/>
        <v>114</v>
      </c>
      <c r="J385" s="177"/>
      <c r="K385" s="177"/>
      <c r="L385" s="177"/>
      <c r="M385" s="288">
        <f>IF(G385&gt;$G$264,"",(SUM(O$269)-SUM(O$271:O384))*(M$269/12))</f>
        <v>534.92551264373208</v>
      </c>
      <c r="N385" s="288"/>
      <c r="O385" s="408">
        <f t="shared" si="44"/>
        <v>351.77377955155919</v>
      </c>
      <c r="P385" s="148"/>
      <c r="Q385" s="177"/>
      <c r="R385" s="177"/>
      <c r="S385" s="177"/>
      <c r="T385" s="148"/>
      <c r="U385" s="148"/>
      <c r="V385" s="148"/>
      <c r="W385" s="148"/>
      <c r="X385" s="148"/>
      <c r="Y385" s="148"/>
      <c r="Z385" s="148"/>
      <c r="AA385" s="148"/>
      <c r="AB385" s="148"/>
      <c r="AC385" s="148"/>
      <c r="AD385" s="148"/>
      <c r="AE385" s="148"/>
      <c r="AF385" s="148"/>
      <c r="AG385" s="148"/>
      <c r="AH385" s="148"/>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c r="BI385" s="148"/>
      <c r="BJ385" s="148"/>
      <c r="BK385" s="148"/>
    </row>
    <row r="386" spans="1:63" hidden="1" x14ac:dyDescent="0.25">
      <c r="A386" s="19"/>
      <c r="E386" s="138">
        <f t="shared" si="42"/>
        <v>45323</v>
      </c>
      <c r="F386" s="63">
        <f t="shared" si="41"/>
        <v>2024</v>
      </c>
      <c r="G386" s="124">
        <f t="shared" si="43"/>
        <v>10</v>
      </c>
      <c r="H386" s="19"/>
      <c r="I386" s="407">
        <f t="shared" si="45"/>
        <v>115</v>
      </c>
      <c r="J386" s="177"/>
      <c r="K386" s="177"/>
      <c r="L386" s="177"/>
      <c r="M386" s="288">
        <f>IF(G386&gt;$G$264,"",(SUM(O$269)-SUM(O$271:O385))*(M$269/12))</f>
        <v>533.60636097041379</v>
      </c>
      <c r="N386" s="288"/>
      <c r="O386" s="408">
        <f t="shared" si="44"/>
        <v>353.09293122487747</v>
      </c>
      <c r="P386" s="148"/>
      <c r="Q386" s="177"/>
      <c r="R386" s="177"/>
      <c r="S386" s="177"/>
      <c r="T386" s="148"/>
      <c r="U386" s="148"/>
      <c r="V386" s="148"/>
      <c r="W386" s="148"/>
      <c r="X386" s="148"/>
      <c r="Y386" s="148"/>
      <c r="Z386" s="148"/>
      <c r="AA386" s="148"/>
      <c r="AB386" s="148"/>
      <c r="AC386" s="148"/>
      <c r="AD386" s="148"/>
      <c r="AE386" s="148"/>
      <c r="AF386" s="148"/>
      <c r="AG386" s="148"/>
      <c r="AH386" s="148"/>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c r="BI386" s="148"/>
      <c r="BJ386" s="148"/>
      <c r="BK386" s="148"/>
    </row>
    <row r="387" spans="1:63" hidden="1" x14ac:dyDescent="0.25">
      <c r="A387" s="19"/>
      <c r="E387" s="138">
        <f t="shared" si="42"/>
        <v>45352</v>
      </c>
      <c r="F387" s="63">
        <f t="shared" si="41"/>
        <v>2024</v>
      </c>
      <c r="G387" s="124">
        <f t="shared" si="43"/>
        <v>10</v>
      </c>
      <c r="H387" s="19"/>
      <c r="I387" s="407">
        <f t="shared" si="45"/>
        <v>116</v>
      </c>
      <c r="J387" s="177"/>
      <c r="K387" s="177"/>
      <c r="L387" s="177"/>
      <c r="M387" s="288">
        <f>IF(G387&gt;$G$264,"",(SUM(O$269)-SUM(O$271:O386))*(M$269/12))</f>
        <v>532.28226247832049</v>
      </c>
      <c r="N387" s="288"/>
      <c r="O387" s="408">
        <f t="shared" si="44"/>
        <v>354.41702971697077</v>
      </c>
      <c r="P387" s="148"/>
      <c r="Q387" s="177"/>
      <c r="R387" s="177"/>
      <c r="S387" s="177"/>
      <c r="T387" s="148"/>
      <c r="U387" s="148"/>
      <c r="V387" s="148"/>
      <c r="W387" s="148"/>
      <c r="X387" s="148"/>
      <c r="Y387" s="148"/>
      <c r="Z387" s="148"/>
      <c r="AA387" s="148"/>
      <c r="AB387" s="148"/>
      <c r="AC387" s="148"/>
      <c r="AD387" s="148"/>
      <c r="AE387" s="148"/>
      <c r="AF387" s="148"/>
      <c r="AG387" s="148"/>
      <c r="AH387" s="148"/>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c r="BI387" s="148"/>
      <c r="BJ387" s="148"/>
      <c r="BK387" s="148"/>
    </row>
    <row r="388" spans="1:63" hidden="1" x14ac:dyDescent="0.25">
      <c r="A388" s="19"/>
      <c r="E388" s="138">
        <f t="shared" si="42"/>
        <v>45383</v>
      </c>
      <c r="F388" s="63">
        <f t="shared" si="41"/>
        <v>2024</v>
      </c>
      <c r="G388" s="124">
        <f t="shared" si="43"/>
        <v>10</v>
      </c>
      <c r="H388" s="19"/>
      <c r="I388" s="407">
        <f t="shared" si="45"/>
        <v>117</v>
      </c>
      <c r="J388" s="177"/>
      <c r="K388" s="177"/>
      <c r="L388" s="177"/>
      <c r="M388" s="288">
        <f>IF(G388&gt;$G$264,"",(SUM(O$269)-SUM(O$271:O387))*(M$269/12))</f>
        <v>530.95319861688176</v>
      </c>
      <c r="N388" s="288"/>
      <c r="O388" s="408">
        <f t="shared" si="44"/>
        <v>355.7460935784095</v>
      </c>
      <c r="P388" s="148"/>
      <c r="Q388" s="177"/>
      <c r="R388" s="177"/>
      <c r="S388" s="177"/>
      <c r="T388" s="148"/>
      <c r="U388" s="148"/>
      <c r="V388" s="148"/>
      <c r="W388" s="148"/>
      <c r="X388" s="148"/>
      <c r="Y388" s="148"/>
      <c r="Z388" s="148"/>
      <c r="AA388" s="148"/>
      <c r="AB388" s="148"/>
      <c r="AC388" s="148"/>
      <c r="AD388" s="148"/>
      <c r="AE388" s="148"/>
      <c r="AF388" s="148"/>
      <c r="AG388" s="148"/>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c r="BI388" s="148"/>
      <c r="BJ388" s="148"/>
      <c r="BK388" s="148"/>
    </row>
    <row r="389" spans="1:63" hidden="1" x14ac:dyDescent="0.25">
      <c r="A389" s="19"/>
      <c r="E389" s="138">
        <f t="shared" si="42"/>
        <v>45413</v>
      </c>
      <c r="F389" s="63">
        <f t="shared" si="41"/>
        <v>2024</v>
      </c>
      <c r="G389" s="124">
        <f t="shared" si="43"/>
        <v>10</v>
      </c>
      <c r="H389" s="19"/>
      <c r="I389" s="407">
        <f t="shared" si="45"/>
        <v>118</v>
      </c>
      <c r="J389" s="177"/>
      <c r="K389" s="177"/>
      <c r="L389" s="177"/>
      <c r="M389" s="288">
        <f>IF(G389&gt;$G$264,"",(SUM(O$269)-SUM(O$271:O388))*(M$269/12))</f>
        <v>529.61915076596267</v>
      </c>
      <c r="N389" s="288"/>
      <c r="O389" s="408">
        <f t="shared" si="44"/>
        <v>357.08014142932859</v>
      </c>
      <c r="P389" s="148"/>
      <c r="Q389" s="177"/>
      <c r="R389" s="177"/>
      <c r="S389" s="177"/>
      <c r="T389" s="148"/>
      <c r="U389" s="148"/>
      <c r="V389" s="148"/>
      <c r="W389" s="148"/>
      <c r="X389" s="148"/>
      <c r="Y389" s="148"/>
      <c r="Z389" s="148"/>
      <c r="AA389" s="148"/>
      <c r="AB389" s="148"/>
      <c r="AC389" s="148"/>
      <c r="AD389" s="148"/>
      <c r="AE389" s="148"/>
      <c r="AF389" s="148"/>
      <c r="AG389" s="148"/>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c r="BI389" s="148"/>
      <c r="BJ389" s="148"/>
      <c r="BK389" s="148"/>
    </row>
    <row r="390" spans="1:63" hidden="1" x14ac:dyDescent="0.25">
      <c r="A390" s="19"/>
      <c r="E390" s="138">
        <f t="shared" si="42"/>
        <v>45444</v>
      </c>
      <c r="F390" s="63">
        <f t="shared" si="41"/>
        <v>2024</v>
      </c>
      <c r="G390" s="124">
        <f t="shared" si="43"/>
        <v>10</v>
      </c>
      <c r="H390" s="19"/>
      <c r="I390" s="407">
        <f t="shared" si="45"/>
        <v>119</v>
      </c>
      <c r="J390" s="177"/>
      <c r="K390" s="177"/>
      <c r="L390" s="177"/>
      <c r="M390" s="288">
        <f>IF(G390&gt;$G$264,"",(SUM(O$269)-SUM(O$271:O389))*(M$269/12))</f>
        <v>528.28010023560273</v>
      </c>
      <c r="N390" s="288"/>
      <c r="O390" s="408">
        <f t="shared" si="44"/>
        <v>358.41919195968853</v>
      </c>
      <c r="P390" s="148"/>
      <c r="Q390" s="177"/>
      <c r="R390" s="177"/>
      <c r="S390" s="177"/>
      <c r="T390" s="148"/>
      <c r="U390" s="148"/>
      <c r="V390" s="148"/>
      <c r="W390" s="148"/>
      <c r="X390" s="148"/>
      <c r="Y390" s="148"/>
      <c r="Z390" s="148"/>
      <c r="AA390" s="148"/>
      <c r="AB390" s="148"/>
      <c r="AC390" s="148"/>
      <c r="AD390" s="148"/>
      <c r="AE390" s="148"/>
      <c r="AF390" s="148"/>
      <c r="AG390" s="148"/>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c r="BI390" s="148"/>
      <c r="BJ390" s="148"/>
      <c r="BK390" s="148"/>
    </row>
    <row r="391" spans="1:63" hidden="1" x14ac:dyDescent="0.25">
      <c r="A391" s="19"/>
      <c r="E391" s="138">
        <f t="shared" si="42"/>
        <v>45474</v>
      </c>
      <c r="F391" s="63">
        <f t="shared" si="41"/>
        <v>2024</v>
      </c>
      <c r="G391" s="124">
        <f t="shared" si="43"/>
        <v>10</v>
      </c>
      <c r="H391" s="19"/>
      <c r="I391" s="407">
        <f t="shared" si="45"/>
        <v>120</v>
      </c>
      <c r="J391" s="177"/>
      <c r="K391" s="177"/>
      <c r="L391" s="177"/>
      <c r="M391" s="288">
        <f>IF(G391&gt;$G$264,"",(SUM(O$269)-SUM(O$271:O390))*(M$269/12))</f>
        <v>526.93602826575398</v>
      </c>
      <c r="N391" s="288"/>
      <c r="O391" s="408">
        <f t="shared" si="44"/>
        <v>359.76326392953729</v>
      </c>
      <c r="P391" s="148"/>
      <c r="Q391" s="177"/>
      <c r="R391" s="177"/>
      <c r="S391" s="177"/>
      <c r="T391" s="148"/>
      <c r="U391" s="148"/>
      <c r="V391" s="148"/>
      <c r="W391" s="148"/>
      <c r="X391" s="148"/>
      <c r="Y391" s="148"/>
      <c r="Z391" s="148"/>
      <c r="AA391" s="148"/>
      <c r="AB391" s="148"/>
      <c r="AC391" s="148"/>
      <c r="AD391" s="148"/>
      <c r="AE391" s="148"/>
      <c r="AF391" s="148"/>
      <c r="AG391" s="148"/>
      <c r="AH391" s="148"/>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c r="BI391" s="148"/>
      <c r="BJ391" s="148"/>
      <c r="BK391" s="148"/>
    </row>
    <row r="392" spans="1:63" hidden="1" x14ac:dyDescent="0.25">
      <c r="A392" s="19"/>
      <c r="E392" s="138">
        <f t="shared" si="42"/>
        <v>45505</v>
      </c>
      <c r="F392" s="63">
        <f t="shared" si="41"/>
        <v>2024</v>
      </c>
      <c r="G392" s="124">
        <f t="shared" si="43"/>
        <v>11</v>
      </c>
      <c r="H392" s="19"/>
      <c r="I392" s="407">
        <f t="shared" si="45"/>
        <v>121</v>
      </c>
      <c r="J392" s="177"/>
      <c r="K392" s="177"/>
      <c r="L392" s="177"/>
      <c r="M392" s="288">
        <f>IF(G392&gt;$G$264,"",(SUM(O$269)-SUM(O$271:O391))*(M$269/12))</f>
        <v>525.58691602601812</v>
      </c>
      <c r="N392" s="288"/>
      <c r="O392" s="408">
        <f t="shared" si="44"/>
        <v>361.11237616927315</v>
      </c>
      <c r="P392" s="148"/>
      <c r="Q392" s="177"/>
      <c r="R392" s="177"/>
      <c r="S392" s="177"/>
      <c r="T392" s="148"/>
      <c r="U392" s="148"/>
      <c r="V392" s="148"/>
      <c r="W392" s="148"/>
      <c r="X392" s="148"/>
      <c r="Y392" s="148"/>
      <c r="Z392" s="148"/>
      <c r="AA392" s="148"/>
      <c r="AB392" s="148"/>
      <c r="AC392" s="148"/>
      <c r="AD392" s="148"/>
      <c r="AE392" s="148"/>
      <c r="AF392" s="148"/>
      <c r="AG392" s="148"/>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c r="BI392" s="148"/>
      <c r="BJ392" s="148"/>
      <c r="BK392" s="148"/>
    </row>
    <row r="393" spans="1:63" hidden="1" x14ac:dyDescent="0.25">
      <c r="A393" s="19"/>
      <c r="E393" s="138">
        <f t="shared" si="42"/>
        <v>45536</v>
      </c>
      <c r="F393" s="63">
        <f t="shared" si="41"/>
        <v>2024</v>
      </c>
      <c r="G393" s="124">
        <f t="shared" si="43"/>
        <v>11</v>
      </c>
      <c r="H393" s="19"/>
      <c r="I393" s="407">
        <f t="shared" si="45"/>
        <v>122</v>
      </c>
      <c r="J393" s="177"/>
      <c r="K393" s="177"/>
      <c r="L393" s="177"/>
      <c r="M393" s="288">
        <f>IF(G393&gt;$G$264,"",(SUM(O$269)-SUM(O$271:O392))*(M$269/12))</f>
        <v>524.23274461538335</v>
      </c>
      <c r="N393" s="288"/>
      <c r="O393" s="408">
        <f t="shared" si="44"/>
        <v>362.46654757990791</v>
      </c>
      <c r="P393" s="148"/>
      <c r="Q393" s="177"/>
      <c r="R393" s="177"/>
      <c r="S393" s="177"/>
      <c r="T393" s="148"/>
      <c r="U393" s="148"/>
      <c r="V393" s="148"/>
      <c r="W393" s="148"/>
      <c r="X393" s="148"/>
      <c r="Y393" s="148"/>
      <c r="Z393" s="148"/>
      <c r="AA393" s="148"/>
      <c r="AB393" s="148"/>
      <c r="AC393" s="148"/>
      <c r="AD393" s="148"/>
      <c r="AE393" s="148"/>
      <c r="AF393" s="148"/>
      <c r="AG393" s="148"/>
      <c r="AH393" s="148"/>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c r="BI393" s="148"/>
      <c r="BJ393" s="148"/>
      <c r="BK393" s="148"/>
    </row>
    <row r="394" spans="1:63" hidden="1" x14ac:dyDescent="0.25">
      <c r="A394" s="19"/>
      <c r="E394" s="138">
        <f t="shared" si="42"/>
        <v>45566</v>
      </c>
      <c r="F394" s="63">
        <f t="shared" si="41"/>
        <v>2024</v>
      </c>
      <c r="G394" s="124">
        <f t="shared" si="43"/>
        <v>11</v>
      </c>
      <c r="H394" s="19"/>
      <c r="I394" s="407">
        <f t="shared" si="45"/>
        <v>123</v>
      </c>
      <c r="J394" s="177"/>
      <c r="K394" s="177"/>
      <c r="L394" s="177"/>
      <c r="M394" s="288">
        <f>IF(G394&gt;$G$264,"",(SUM(O$269)-SUM(O$271:O393))*(M$269/12))</f>
        <v>522.87349506195869</v>
      </c>
      <c r="N394" s="288"/>
      <c r="O394" s="408">
        <f t="shared" si="44"/>
        <v>363.82579713333257</v>
      </c>
      <c r="P394" s="148"/>
      <c r="Q394" s="177"/>
      <c r="R394" s="177"/>
      <c r="S394" s="177"/>
      <c r="T394" s="148"/>
      <c r="U394" s="148"/>
      <c r="V394" s="148"/>
      <c r="W394" s="148"/>
      <c r="X394" s="148"/>
      <c r="Y394" s="148"/>
      <c r="Z394" s="148"/>
      <c r="AA394" s="148"/>
      <c r="AB394" s="148"/>
      <c r="AC394" s="148"/>
      <c r="AD394" s="148"/>
      <c r="AE394" s="148"/>
      <c r="AF394" s="148"/>
      <c r="AG394" s="148"/>
      <c r="AH394" s="148"/>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c r="BI394" s="148"/>
      <c r="BJ394" s="148"/>
      <c r="BK394" s="148"/>
    </row>
    <row r="395" spans="1:63" hidden="1" x14ac:dyDescent="0.25">
      <c r="A395" s="19"/>
      <c r="E395" s="138">
        <f t="shared" si="42"/>
        <v>45597</v>
      </c>
      <c r="F395" s="63">
        <f t="shared" si="41"/>
        <v>2024</v>
      </c>
      <c r="G395" s="124">
        <f t="shared" si="43"/>
        <v>11</v>
      </c>
      <c r="H395" s="19"/>
      <c r="I395" s="407">
        <f t="shared" si="45"/>
        <v>124</v>
      </c>
      <c r="J395" s="177"/>
      <c r="K395" s="177"/>
      <c r="L395" s="177"/>
      <c r="M395" s="288">
        <f>IF(G395&gt;$G$264,"",(SUM(O$269)-SUM(O$271:O394))*(M$269/12))</f>
        <v>521.50914832270882</v>
      </c>
      <c r="N395" s="288"/>
      <c r="O395" s="408">
        <f t="shared" si="44"/>
        <v>365.19014387258244</v>
      </c>
      <c r="P395" s="148"/>
      <c r="Q395" s="177"/>
      <c r="R395" s="177"/>
      <c r="S395" s="177"/>
      <c r="T395" s="148"/>
      <c r="U395" s="148"/>
      <c r="V395" s="148"/>
      <c r="W395" s="148"/>
      <c r="X395" s="148"/>
      <c r="Y395" s="148"/>
      <c r="Z395" s="148"/>
      <c r="AA395" s="148"/>
      <c r="AB395" s="148"/>
      <c r="AC395" s="148"/>
      <c r="AD395" s="148"/>
      <c r="AE395" s="148"/>
      <c r="AF395" s="148"/>
      <c r="AG395" s="148"/>
      <c r="AH395" s="148"/>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c r="BI395" s="148"/>
      <c r="BJ395" s="148"/>
      <c r="BK395" s="148"/>
    </row>
    <row r="396" spans="1:63" hidden="1" x14ac:dyDescent="0.25">
      <c r="A396" s="19"/>
      <c r="E396" s="138">
        <f t="shared" si="42"/>
        <v>45627</v>
      </c>
      <c r="F396" s="63">
        <f t="shared" si="41"/>
        <v>2024</v>
      </c>
      <c r="G396" s="124">
        <f t="shared" si="43"/>
        <v>11</v>
      </c>
      <c r="H396" s="19"/>
      <c r="I396" s="407">
        <f t="shared" si="45"/>
        <v>125</v>
      </c>
      <c r="J396" s="177"/>
      <c r="K396" s="177"/>
      <c r="L396" s="177"/>
      <c r="M396" s="288">
        <f>IF(G396&gt;$G$264,"",(SUM(O$269)-SUM(O$271:O395))*(M$269/12))</f>
        <v>520.13968528318662</v>
      </c>
      <c r="N396" s="288"/>
      <c r="O396" s="408">
        <f t="shared" si="44"/>
        <v>366.55960691210464</v>
      </c>
      <c r="P396" s="148"/>
      <c r="Q396" s="177"/>
      <c r="R396" s="177"/>
      <c r="S396" s="177"/>
      <c r="T396" s="148"/>
      <c r="U396" s="148"/>
      <c r="V396" s="148"/>
      <c r="W396" s="148"/>
      <c r="X396" s="148"/>
      <c r="Y396" s="148"/>
      <c r="Z396" s="148"/>
      <c r="AA396" s="148"/>
      <c r="AB396" s="148"/>
      <c r="AC396" s="148"/>
      <c r="AD396" s="148"/>
      <c r="AE396" s="148"/>
      <c r="AF396" s="148"/>
      <c r="AG396" s="148"/>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c r="BI396" s="148"/>
      <c r="BJ396" s="148"/>
      <c r="BK396" s="148"/>
    </row>
    <row r="397" spans="1:63" hidden="1" x14ac:dyDescent="0.25">
      <c r="A397" s="19"/>
      <c r="E397" s="138">
        <f t="shared" si="42"/>
        <v>45658</v>
      </c>
      <c r="F397" s="63">
        <f t="shared" si="41"/>
        <v>2025</v>
      </c>
      <c r="G397" s="124">
        <f t="shared" si="43"/>
        <v>11</v>
      </c>
      <c r="H397" s="19"/>
      <c r="I397" s="407">
        <f t="shared" si="45"/>
        <v>126</v>
      </c>
      <c r="J397" s="177"/>
      <c r="K397" s="177"/>
      <c r="L397" s="177"/>
      <c r="M397" s="288">
        <f>IF(G397&gt;$G$264,"",(SUM(O$269)-SUM(O$271:O396))*(M$269/12))</f>
        <v>518.7650867572662</v>
      </c>
      <c r="N397" s="288"/>
      <c r="O397" s="408">
        <f t="shared" si="44"/>
        <v>367.93420543802506</v>
      </c>
      <c r="P397" s="148"/>
      <c r="Q397" s="177"/>
      <c r="R397" s="177"/>
      <c r="S397" s="177"/>
      <c r="T397" s="148"/>
      <c r="U397" s="148"/>
      <c r="V397" s="148"/>
      <c r="W397" s="148"/>
      <c r="X397" s="148"/>
      <c r="Y397" s="148"/>
      <c r="Z397" s="148"/>
      <c r="AA397" s="148"/>
      <c r="AB397" s="148"/>
      <c r="AC397" s="148"/>
      <c r="AD397" s="148"/>
      <c r="AE397" s="148"/>
      <c r="AF397" s="148"/>
      <c r="AG397" s="148"/>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c r="BI397" s="148"/>
      <c r="BJ397" s="148"/>
      <c r="BK397" s="148"/>
    </row>
    <row r="398" spans="1:63" hidden="1" x14ac:dyDescent="0.25">
      <c r="A398" s="19"/>
      <c r="E398" s="138">
        <f t="shared" si="42"/>
        <v>45689</v>
      </c>
      <c r="F398" s="63">
        <f t="shared" si="41"/>
        <v>2025</v>
      </c>
      <c r="G398" s="124">
        <f t="shared" si="43"/>
        <v>11</v>
      </c>
      <c r="H398" s="19"/>
      <c r="I398" s="407">
        <f t="shared" si="45"/>
        <v>127</v>
      </c>
      <c r="J398" s="177"/>
      <c r="K398" s="177"/>
      <c r="L398" s="177"/>
      <c r="M398" s="288">
        <f>IF(G398&gt;$G$264,"",(SUM(O$269)-SUM(O$271:O397))*(M$269/12))</f>
        <v>517.38533348687361</v>
      </c>
      <c r="N398" s="288"/>
      <c r="O398" s="408">
        <f t="shared" si="44"/>
        <v>369.31395870841766</v>
      </c>
      <c r="P398" s="148"/>
      <c r="Q398" s="177"/>
      <c r="R398" s="177"/>
      <c r="S398" s="177"/>
      <c r="T398" s="148"/>
      <c r="U398" s="148"/>
      <c r="V398" s="148"/>
      <c r="W398" s="148"/>
      <c r="X398" s="148"/>
      <c r="Y398" s="148"/>
      <c r="Z398" s="148"/>
      <c r="AA398" s="148"/>
      <c r="AB398" s="148"/>
      <c r="AC398" s="148"/>
      <c r="AD398" s="148"/>
      <c r="AE398" s="148"/>
      <c r="AF398" s="148"/>
      <c r="AG398" s="148"/>
      <c r="AH398" s="148"/>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c r="BI398" s="148"/>
      <c r="BJ398" s="148"/>
      <c r="BK398" s="148"/>
    </row>
    <row r="399" spans="1:63" hidden="1" x14ac:dyDescent="0.25">
      <c r="A399" s="19"/>
      <c r="E399" s="138">
        <f t="shared" si="42"/>
        <v>45717</v>
      </c>
      <c r="F399" s="63">
        <f t="shared" si="41"/>
        <v>2025</v>
      </c>
      <c r="G399" s="124">
        <f t="shared" si="43"/>
        <v>11</v>
      </c>
      <c r="H399" s="19"/>
      <c r="I399" s="407">
        <f t="shared" si="45"/>
        <v>128</v>
      </c>
      <c r="J399" s="177"/>
      <c r="K399" s="177"/>
      <c r="L399" s="177"/>
      <c r="M399" s="288">
        <f>IF(G399&gt;$G$264,"",(SUM(O$269)-SUM(O$271:O398))*(M$269/12))</f>
        <v>516.00040614171701</v>
      </c>
      <c r="N399" s="288"/>
      <c r="O399" s="408">
        <f t="shared" si="44"/>
        <v>370.69888605357426</v>
      </c>
      <c r="P399" s="148"/>
      <c r="Q399" s="177"/>
      <c r="R399" s="177"/>
      <c r="S399" s="177"/>
      <c r="T399" s="148"/>
      <c r="U399" s="148"/>
      <c r="V399" s="148"/>
      <c r="W399" s="148"/>
      <c r="X399" s="148"/>
      <c r="Y399" s="148"/>
      <c r="Z399" s="148"/>
      <c r="AA399" s="148"/>
      <c r="AB399" s="148"/>
      <c r="AC399" s="148"/>
      <c r="AD399" s="148"/>
      <c r="AE399" s="148"/>
      <c r="AF399" s="148"/>
      <c r="AG399" s="148"/>
      <c r="AH399" s="148"/>
      <c r="AI399" s="148"/>
      <c r="AJ399" s="148"/>
      <c r="AK399" s="148"/>
      <c r="AL399" s="148"/>
      <c r="AM399" s="148"/>
      <c r="AN399" s="148"/>
      <c r="AO399" s="148"/>
      <c r="AP399" s="148"/>
      <c r="AQ399" s="148"/>
      <c r="AR399" s="148"/>
      <c r="AS399" s="148"/>
      <c r="AT399" s="148"/>
      <c r="AU399" s="148"/>
      <c r="AV399" s="148"/>
      <c r="AW399" s="148"/>
      <c r="AX399" s="148"/>
      <c r="AY399" s="148"/>
      <c r="AZ399" s="148"/>
      <c r="BA399" s="148"/>
      <c r="BB399" s="148"/>
      <c r="BC399" s="148"/>
      <c r="BD399" s="148"/>
      <c r="BE399" s="148"/>
      <c r="BF399" s="148"/>
      <c r="BG399" s="148"/>
      <c r="BH399" s="148"/>
      <c r="BI399" s="148"/>
      <c r="BJ399" s="148"/>
      <c r="BK399" s="148"/>
    </row>
    <row r="400" spans="1:63" hidden="1" x14ac:dyDescent="0.25">
      <c r="A400" s="19"/>
      <c r="E400" s="138">
        <f t="shared" si="42"/>
        <v>45748</v>
      </c>
      <c r="F400" s="63">
        <f t="shared" ref="F400:F451" si="46">IF(M400="","",YEAR(E400))</f>
        <v>2025</v>
      </c>
      <c r="G400" s="124">
        <f t="shared" si="43"/>
        <v>11</v>
      </c>
      <c r="H400" s="19"/>
      <c r="I400" s="407">
        <f t="shared" si="45"/>
        <v>129</v>
      </c>
      <c r="J400" s="177"/>
      <c r="K400" s="177"/>
      <c r="L400" s="177"/>
      <c r="M400" s="288">
        <f>IF(G400&gt;$G$264,"",(SUM(O$269)-SUM(O$271:O399))*(M$269/12))</f>
        <v>514.61028531901616</v>
      </c>
      <c r="N400" s="288"/>
      <c r="O400" s="408">
        <f t="shared" si="44"/>
        <v>372.08900687627511</v>
      </c>
      <c r="P400" s="148"/>
      <c r="Q400" s="177"/>
      <c r="R400" s="177"/>
      <c r="S400" s="177"/>
      <c r="T400" s="148"/>
      <c r="U400" s="148"/>
      <c r="V400" s="148"/>
      <c r="W400" s="148"/>
      <c r="X400" s="148"/>
      <c r="Y400" s="148"/>
      <c r="Z400" s="148"/>
      <c r="AA400" s="148"/>
      <c r="AB400" s="148"/>
      <c r="AC400" s="148"/>
      <c r="AD400" s="148"/>
      <c r="AE400" s="148"/>
      <c r="AF400" s="148"/>
      <c r="AG400" s="148"/>
      <c r="AH400" s="148"/>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c r="BI400" s="148"/>
      <c r="BJ400" s="148"/>
      <c r="BK400" s="148"/>
    </row>
    <row r="401" spans="1:63" hidden="1" x14ac:dyDescent="0.25">
      <c r="A401" s="19"/>
      <c r="E401" s="138">
        <f t="shared" ref="E401:E464" si="47">EDATE(E400,1)</f>
        <v>45778</v>
      </c>
      <c r="F401" s="63">
        <f t="shared" si="46"/>
        <v>2025</v>
      </c>
      <c r="G401" s="124">
        <f t="shared" ref="G401:G464" si="48">ROUNDUP(I401/12,0)</f>
        <v>11</v>
      </c>
      <c r="H401" s="19"/>
      <c r="I401" s="407">
        <f t="shared" si="45"/>
        <v>130</v>
      </c>
      <c r="J401" s="177"/>
      <c r="K401" s="177"/>
      <c r="L401" s="177"/>
      <c r="M401" s="288">
        <f>IF(G401&gt;$G$264,"",(SUM(O$269)-SUM(O$271:O400))*(M$269/12))</f>
        <v>513.21495154323009</v>
      </c>
      <c r="N401" s="288"/>
      <c r="O401" s="408">
        <f t="shared" ref="O401:O464" si="49">IF(M401="","",M$270-M401)</f>
        <v>373.48434065206118</v>
      </c>
      <c r="P401" s="148"/>
      <c r="Q401" s="177"/>
      <c r="R401" s="177"/>
      <c r="S401" s="177"/>
      <c r="T401" s="148"/>
      <c r="U401" s="148"/>
      <c r="V401" s="148"/>
      <c r="W401" s="148"/>
      <c r="X401" s="148"/>
      <c r="Y401" s="148"/>
      <c r="Z401" s="148"/>
      <c r="AA401" s="148"/>
      <c r="AB401" s="148"/>
      <c r="AC401" s="148"/>
      <c r="AD401" s="148"/>
      <c r="AE401" s="148"/>
      <c r="AF401" s="148"/>
      <c r="AG401" s="148"/>
      <c r="AH401" s="148"/>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c r="BI401" s="148"/>
      <c r="BJ401" s="148"/>
      <c r="BK401" s="148"/>
    </row>
    <row r="402" spans="1:63" hidden="1" x14ac:dyDescent="0.25">
      <c r="A402" s="19"/>
      <c r="E402" s="138">
        <f t="shared" si="47"/>
        <v>45809</v>
      </c>
      <c r="F402" s="63">
        <f t="shared" si="46"/>
        <v>2025</v>
      </c>
      <c r="G402" s="124">
        <f t="shared" si="48"/>
        <v>11</v>
      </c>
      <c r="H402" s="19"/>
      <c r="I402" s="407">
        <f t="shared" ref="I402:I465" si="50">I401+1</f>
        <v>131</v>
      </c>
      <c r="J402" s="177"/>
      <c r="K402" s="177"/>
      <c r="L402" s="177"/>
      <c r="M402" s="288">
        <f>IF(G402&gt;$G$264,"",(SUM(O$269)-SUM(O$271:O401))*(M$269/12))</f>
        <v>511.81438526578495</v>
      </c>
      <c r="N402" s="288"/>
      <c r="O402" s="408">
        <f t="shared" si="49"/>
        <v>374.88490692950631</v>
      </c>
      <c r="P402" s="148"/>
      <c r="Q402" s="177"/>
      <c r="R402" s="177"/>
      <c r="S402" s="177"/>
      <c r="T402" s="148"/>
      <c r="U402" s="148"/>
      <c r="V402" s="148"/>
      <c r="W402" s="148"/>
      <c r="X402" s="148"/>
      <c r="Y402" s="148"/>
      <c r="Z402" s="148"/>
      <c r="AA402" s="148"/>
      <c r="AB402" s="148"/>
      <c r="AC402" s="148"/>
      <c r="AD402" s="148"/>
      <c r="AE402" s="148"/>
      <c r="AF402" s="148"/>
      <c r="AG402" s="148"/>
      <c r="AH402" s="148"/>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c r="BI402" s="148"/>
      <c r="BJ402" s="148"/>
      <c r="BK402" s="148"/>
    </row>
    <row r="403" spans="1:63" hidden="1" x14ac:dyDescent="0.25">
      <c r="A403" s="19"/>
      <c r="E403" s="138">
        <f t="shared" si="47"/>
        <v>45839</v>
      </c>
      <c r="F403" s="63">
        <f t="shared" si="46"/>
        <v>2025</v>
      </c>
      <c r="G403" s="124">
        <f t="shared" si="48"/>
        <v>11</v>
      </c>
      <c r="H403" s="19"/>
      <c r="I403" s="407">
        <f t="shared" si="50"/>
        <v>132</v>
      </c>
      <c r="J403" s="177"/>
      <c r="K403" s="177"/>
      <c r="L403" s="177"/>
      <c r="M403" s="288">
        <f>IF(G403&gt;$G$264,"",(SUM(O$269)-SUM(O$271:O402))*(M$269/12))</f>
        <v>510.40856686479924</v>
      </c>
      <c r="N403" s="288"/>
      <c r="O403" s="408">
        <f t="shared" si="49"/>
        <v>376.29072533049202</v>
      </c>
      <c r="P403" s="148"/>
      <c r="Q403" s="177"/>
      <c r="R403" s="177"/>
      <c r="S403" s="177"/>
      <c r="T403" s="148"/>
      <c r="U403" s="148"/>
      <c r="V403" s="148"/>
      <c r="W403" s="148"/>
      <c r="X403" s="148"/>
      <c r="Y403" s="148"/>
      <c r="Z403" s="148"/>
      <c r="AA403" s="148"/>
      <c r="AB403" s="148"/>
      <c r="AC403" s="148"/>
      <c r="AD403" s="148"/>
      <c r="AE403" s="148"/>
      <c r="AF403" s="148"/>
      <c r="AG403" s="148"/>
      <c r="AH403" s="148"/>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c r="BI403" s="148"/>
      <c r="BJ403" s="148"/>
      <c r="BK403" s="148"/>
    </row>
    <row r="404" spans="1:63" hidden="1" x14ac:dyDescent="0.25">
      <c r="A404" s="19"/>
      <c r="E404" s="138">
        <f t="shared" si="47"/>
        <v>45870</v>
      </c>
      <c r="F404" s="63">
        <f t="shared" si="46"/>
        <v>2025</v>
      </c>
      <c r="G404" s="124">
        <f t="shared" si="48"/>
        <v>12</v>
      </c>
      <c r="H404" s="19"/>
      <c r="I404" s="407">
        <f t="shared" si="50"/>
        <v>133</v>
      </c>
      <c r="J404" s="177"/>
      <c r="K404" s="177"/>
      <c r="L404" s="177"/>
      <c r="M404" s="288">
        <f>IF(G404&gt;$G$264,"",(SUM(O$269)-SUM(O$271:O403))*(M$269/12))</f>
        <v>508.99747664480986</v>
      </c>
      <c r="N404" s="288"/>
      <c r="O404" s="408">
        <f t="shared" si="49"/>
        <v>377.7018155504814</v>
      </c>
      <c r="P404" s="148"/>
      <c r="Q404" s="177"/>
      <c r="R404" s="177"/>
      <c r="S404" s="177"/>
      <c r="T404" s="148"/>
      <c r="U404" s="148"/>
      <c r="V404" s="148"/>
      <c r="W404" s="148"/>
      <c r="X404" s="148"/>
      <c r="Y404" s="148"/>
      <c r="Z404" s="148"/>
      <c r="AA404" s="148"/>
      <c r="AB404" s="148"/>
      <c r="AC404" s="148"/>
      <c r="AD404" s="148"/>
      <c r="AE404" s="148"/>
      <c r="AF404" s="148"/>
      <c r="AG404" s="148"/>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c r="BI404" s="148"/>
      <c r="BJ404" s="148"/>
      <c r="BK404" s="148"/>
    </row>
    <row r="405" spans="1:63" hidden="1" x14ac:dyDescent="0.25">
      <c r="A405" s="19"/>
      <c r="E405" s="138">
        <f t="shared" si="47"/>
        <v>45901</v>
      </c>
      <c r="F405" s="63">
        <f t="shared" si="46"/>
        <v>2025</v>
      </c>
      <c r="G405" s="124">
        <f t="shared" si="48"/>
        <v>12</v>
      </c>
      <c r="H405" s="19"/>
      <c r="I405" s="407">
        <f t="shared" si="50"/>
        <v>134</v>
      </c>
      <c r="J405" s="177"/>
      <c r="K405" s="177"/>
      <c r="L405" s="177"/>
      <c r="M405" s="288">
        <f>IF(G405&gt;$G$264,"",(SUM(O$269)-SUM(O$271:O404))*(M$269/12))</f>
        <v>507.58109483649559</v>
      </c>
      <c r="N405" s="288"/>
      <c r="O405" s="408">
        <f t="shared" si="49"/>
        <v>379.11819735879567</v>
      </c>
      <c r="P405" s="148"/>
      <c r="Q405" s="177"/>
      <c r="R405" s="177"/>
      <c r="S405" s="177"/>
      <c r="T405" s="148"/>
      <c r="U405" s="148"/>
      <c r="V405" s="148"/>
      <c r="W405" s="148"/>
      <c r="X405" s="148"/>
      <c r="Y405" s="148"/>
      <c r="Z405" s="148"/>
      <c r="AA405" s="148"/>
      <c r="AB405" s="148"/>
      <c r="AC405" s="148"/>
      <c r="AD405" s="148"/>
      <c r="AE405" s="148"/>
      <c r="AF405" s="148"/>
      <c r="AG405" s="148"/>
      <c r="AH405" s="148"/>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c r="BI405" s="148"/>
      <c r="BJ405" s="148"/>
      <c r="BK405" s="148"/>
    </row>
    <row r="406" spans="1:63" hidden="1" x14ac:dyDescent="0.25">
      <c r="A406" s="19"/>
      <c r="E406" s="138">
        <f t="shared" si="47"/>
        <v>45931</v>
      </c>
      <c r="F406" s="63">
        <f t="shared" si="46"/>
        <v>2025</v>
      </c>
      <c r="G406" s="124">
        <f t="shared" si="48"/>
        <v>12</v>
      </c>
      <c r="H406" s="19"/>
      <c r="I406" s="407">
        <f t="shared" si="50"/>
        <v>135</v>
      </c>
      <c r="J406" s="177"/>
      <c r="K406" s="177"/>
      <c r="L406" s="177"/>
      <c r="M406" s="288">
        <f>IF(G406&gt;$G$264,"",(SUM(O$269)-SUM(O$271:O405))*(M$269/12))</f>
        <v>506.15940159640013</v>
      </c>
      <c r="N406" s="288"/>
      <c r="O406" s="408">
        <f t="shared" si="49"/>
        <v>380.53989059889113</v>
      </c>
      <c r="P406" s="148"/>
      <c r="Q406" s="177"/>
      <c r="R406" s="177"/>
      <c r="S406" s="177"/>
      <c r="T406" s="148"/>
      <c r="U406" s="148"/>
      <c r="V406" s="148"/>
      <c r="W406" s="148"/>
      <c r="X406" s="148"/>
      <c r="Y406" s="148"/>
      <c r="Z406" s="148"/>
      <c r="AA406" s="148"/>
      <c r="AB406" s="148"/>
      <c r="AC406" s="148"/>
      <c r="AD406" s="148"/>
      <c r="AE406" s="148"/>
      <c r="AF406" s="148"/>
      <c r="AG406" s="148"/>
      <c r="AH406" s="148"/>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c r="BI406" s="148"/>
      <c r="BJ406" s="148"/>
      <c r="BK406" s="148"/>
    </row>
    <row r="407" spans="1:63" hidden="1" x14ac:dyDescent="0.25">
      <c r="A407" s="19"/>
      <c r="E407" s="138">
        <f t="shared" si="47"/>
        <v>45962</v>
      </c>
      <c r="F407" s="63">
        <f t="shared" si="46"/>
        <v>2025</v>
      </c>
      <c r="G407" s="124">
        <f t="shared" si="48"/>
        <v>12</v>
      </c>
      <c r="H407" s="19"/>
      <c r="I407" s="407">
        <f t="shared" si="50"/>
        <v>136</v>
      </c>
      <c r="J407" s="177"/>
      <c r="K407" s="177"/>
      <c r="L407" s="177"/>
      <c r="M407" s="288">
        <f>IF(G407&gt;$G$264,"",(SUM(O$269)-SUM(O$271:O406))*(M$269/12))</f>
        <v>504.73237700665419</v>
      </c>
      <c r="N407" s="288"/>
      <c r="O407" s="408">
        <f t="shared" si="49"/>
        <v>381.96691518863707</v>
      </c>
      <c r="P407" s="148"/>
      <c r="Q407" s="177"/>
      <c r="R407" s="177"/>
      <c r="S407" s="177"/>
      <c r="T407" s="148"/>
      <c r="U407" s="148"/>
      <c r="V407" s="148"/>
      <c r="W407" s="148"/>
      <c r="X407" s="148"/>
      <c r="Y407" s="148"/>
      <c r="Z407" s="148"/>
      <c r="AA407" s="148"/>
      <c r="AB407" s="148"/>
      <c r="AC407" s="148"/>
      <c r="AD407" s="148"/>
      <c r="AE407" s="148"/>
      <c r="AF407" s="148"/>
      <c r="AG407" s="148"/>
      <c r="AH407" s="148"/>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c r="BI407" s="148"/>
      <c r="BJ407" s="148"/>
      <c r="BK407" s="148"/>
    </row>
    <row r="408" spans="1:63" hidden="1" x14ac:dyDescent="0.25">
      <c r="A408" s="19"/>
      <c r="E408" s="138">
        <f t="shared" si="47"/>
        <v>45992</v>
      </c>
      <c r="F408" s="63">
        <f t="shared" si="46"/>
        <v>2025</v>
      </c>
      <c r="G408" s="124">
        <f t="shared" si="48"/>
        <v>12</v>
      </c>
      <c r="H408" s="19"/>
      <c r="I408" s="407">
        <f t="shared" si="50"/>
        <v>137</v>
      </c>
      <c r="J408" s="177"/>
      <c r="K408" s="177"/>
      <c r="L408" s="177"/>
      <c r="M408" s="288">
        <f>IF(G408&gt;$G$264,"",(SUM(O$269)-SUM(O$271:O407))*(M$269/12))</f>
        <v>503.30000107469687</v>
      </c>
      <c r="N408" s="288"/>
      <c r="O408" s="408">
        <f t="shared" si="49"/>
        <v>383.3992911205944</v>
      </c>
      <c r="P408" s="148"/>
      <c r="Q408" s="177"/>
      <c r="R408" s="177"/>
      <c r="S408" s="177"/>
      <c r="T408" s="148"/>
      <c r="U408" s="148"/>
      <c r="V408" s="148"/>
      <c r="W408" s="148"/>
      <c r="X408" s="148"/>
      <c r="Y408" s="148"/>
      <c r="Z408" s="148"/>
      <c r="AA408" s="148"/>
      <c r="AB408" s="148"/>
      <c r="AC408" s="148"/>
      <c r="AD408" s="148"/>
      <c r="AE408" s="148"/>
      <c r="AF408" s="148"/>
      <c r="AG408" s="148"/>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c r="BI408" s="148"/>
      <c r="BJ408" s="148"/>
      <c r="BK408" s="148"/>
    </row>
    <row r="409" spans="1:63" hidden="1" x14ac:dyDescent="0.25">
      <c r="A409" s="19"/>
      <c r="E409" s="138">
        <f t="shared" si="47"/>
        <v>46023</v>
      </c>
      <c r="F409" s="63">
        <f t="shared" si="46"/>
        <v>2026</v>
      </c>
      <c r="G409" s="124">
        <f t="shared" si="48"/>
        <v>12</v>
      </c>
      <c r="H409" s="19"/>
      <c r="I409" s="407">
        <f t="shared" si="50"/>
        <v>138</v>
      </c>
      <c r="J409" s="177"/>
      <c r="K409" s="177"/>
      <c r="L409" s="177"/>
      <c r="M409" s="288">
        <f>IF(G409&gt;$G$264,"",(SUM(O$269)-SUM(O$271:O408))*(M$269/12))</f>
        <v>501.86225373299465</v>
      </c>
      <c r="N409" s="288"/>
      <c r="O409" s="408">
        <f t="shared" si="49"/>
        <v>384.83703846229662</v>
      </c>
      <c r="P409" s="148"/>
      <c r="Q409" s="177"/>
      <c r="R409" s="177"/>
      <c r="S409" s="177"/>
      <c r="T409" s="148"/>
      <c r="U409" s="148"/>
      <c r="V409" s="148"/>
      <c r="W409" s="148"/>
      <c r="X409" s="148"/>
      <c r="Y409" s="148"/>
      <c r="Z409" s="148"/>
      <c r="AA409" s="148"/>
      <c r="AB409" s="148"/>
      <c r="AC409" s="148"/>
      <c r="AD409" s="148"/>
      <c r="AE409" s="148"/>
      <c r="AF409" s="148"/>
      <c r="AG409" s="148"/>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c r="BI409" s="148"/>
      <c r="BJ409" s="148"/>
      <c r="BK409" s="148"/>
    </row>
    <row r="410" spans="1:63" hidden="1" x14ac:dyDescent="0.25">
      <c r="A410" s="19"/>
      <c r="E410" s="138">
        <f t="shared" si="47"/>
        <v>46054</v>
      </c>
      <c r="F410" s="63">
        <f t="shared" si="46"/>
        <v>2026</v>
      </c>
      <c r="G410" s="124">
        <f t="shared" si="48"/>
        <v>12</v>
      </c>
      <c r="H410" s="19"/>
      <c r="I410" s="407">
        <f t="shared" si="50"/>
        <v>139</v>
      </c>
      <c r="J410" s="177"/>
      <c r="K410" s="177"/>
      <c r="L410" s="177"/>
      <c r="M410" s="288">
        <f>IF(G410&gt;$G$264,"",(SUM(O$269)-SUM(O$271:O409))*(M$269/12))</f>
        <v>500.419114838761</v>
      </c>
      <c r="N410" s="288"/>
      <c r="O410" s="408">
        <f t="shared" si="49"/>
        <v>386.28017735653026</v>
      </c>
      <c r="P410" s="148"/>
      <c r="Q410" s="177"/>
      <c r="R410" s="177"/>
      <c r="S410" s="177"/>
      <c r="T410" s="148"/>
      <c r="U410" s="148"/>
      <c r="V410" s="148"/>
      <c r="W410" s="148"/>
      <c r="X410" s="148"/>
      <c r="Y410" s="148"/>
      <c r="Z410" s="148"/>
      <c r="AA410" s="148"/>
      <c r="AB410" s="148"/>
      <c r="AC410" s="148"/>
      <c r="AD410" s="148"/>
      <c r="AE410" s="148"/>
      <c r="AF410" s="148"/>
      <c r="AG410" s="148"/>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c r="BI410" s="148"/>
      <c r="BJ410" s="148"/>
      <c r="BK410" s="148"/>
    </row>
    <row r="411" spans="1:63" hidden="1" x14ac:dyDescent="0.25">
      <c r="A411" s="19"/>
      <c r="E411" s="138">
        <f t="shared" si="47"/>
        <v>46082</v>
      </c>
      <c r="F411" s="63">
        <f t="shared" si="46"/>
        <v>2026</v>
      </c>
      <c r="G411" s="124">
        <f t="shared" si="48"/>
        <v>12</v>
      </c>
      <c r="H411" s="19"/>
      <c r="I411" s="407">
        <f t="shared" si="50"/>
        <v>140</v>
      </c>
      <c r="J411" s="177"/>
      <c r="K411" s="177"/>
      <c r="L411" s="177"/>
      <c r="M411" s="288">
        <f>IF(G411&gt;$G$264,"",(SUM(O$269)-SUM(O$271:O410))*(M$269/12))</f>
        <v>498.97056417367401</v>
      </c>
      <c r="N411" s="288"/>
      <c r="O411" s="408">
        <f t="shared" si="49"/>
        <v>387.72872802161726</v>
      </c>
      <c r="P411" s="148"/>
      <c r="Q411" s="177"/>
      <c r="R411" s="177"/>
      <c r="S411" s="177"/>
      <c r="T411" s="148"/>
      <c r="U411" s="148"/>
      <c r="V411" s="148"/>
      <c r="W411" s="148"/>
      <c r="X411" s="148"/>
      <c r="Y411" s="148"/>
      <c r="Z411" s="148"/>
      <c r="AA411" s="148"/>
      <c r="AB411" s="148"/>
      <c r="AC411" s="148"/>
      <c r="AD411" s="148"/>
      <c r="AE411" s="148"/>
      <c r="AF411" s="148"/>
      <c r="AG411" s="148"/>
      <c r="AH411" s="148"/>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c r="BI411" s="148"/>
      <c r="BJ411" s="148"/>
      <c r="BK411" s="148"/>
    </row>
    <row r="412" spans="1:63" hidden="1" x14ac:dyDescent="0.25">
      <c r="A412" s="19"/>
      <c r="E412" s="138">
        <f t="shared" si="47"/>
        <v>46113</v>
      </c>
      <c r="F412" s="63">
        <f t="shared" si="46"/>
        <v>2026</v>
      </c>
      <c r="G412" s="124">
        <f t="shared" si="48"/>
        <v>12</v>
      </c>
      <c r="H412" s="19"/>
      <c r="I412" s="407">
        <f t="shared" si="50"/>
        <v>141</v>
      </c>
      <c r="J412" s="177"/>
      <c r="K412" s="177"/>
      <c r="L412" s="177"/>
      <c r="M412" s="288">
        <f>IF(G412&gt;$G$264,"",(SUM(O$269)-SUM(O$271:O411))*(M$269/12))</f>
        <v>497.51658144359294</v>
      </c>
      <c r="N412" s="288"/>
      <c r="O412" s="408">
        <f t="shared" si="49"/>
        <v>389.18271075169832</v>
      </c>
      <c r="P412" s="148"/>
      <c r="Q412" s="177"/>
      <c r="R412" s="177"/>
      <c r="S412" s="177"/>
      <c r="T412" s="148"/>
      <c r="U412" s="148"/>
      <c r="V412" s="148"/>
      <c r="W412" s="148"/>
      <c r="X412" s="148"/>
      <c r="Y412" s="148"/>
      <c r="Z412" s="148"/>
      <c r="AA412" s="148"/>
      <c r="AB412" s="148"/>
      <c r="AC412" s="148"/>
      <c r="AD412" s="148"/>
      <c r="AE412" s="148"/>
      <c r="AF412" s="148"/>
      <c r="AG412" s="148"/>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c r="BI412" s="148"/>
      <c r="BJ412" s="148"/>
      <c r="BK412" s="148"/>
    </row>
    <row r="413" spans="1:63" hidden="1" x14ac:dyDescent="0.25">
      <c r="A413" s="19"/>
      <c r="E413" s="138">
        <f t="shared" si="47"/>
        <v>46143</v>
      </c>
      <c r="F413" s="63">
        <f t="shared" si="46"/>
        <v>2026</v>
      </c>
      <c r="G413" s="124">
        <f t="shared" si="48"/>
        <v>12</v>
      </c>
      <c r="H413" s="19"/>
      <c r="I413" s="407">
        <f t="shared" si="50"/>
        <v>142</v>
      </c>
      <c r="J413" s="177"/>
      <c r="K413" s="177"/>
      <c r="L413" s="177"/>
      <c r="M413" s="288">
        <f>IF(G413&gt;$G$264,"",(SUM(O$269)-SUM(O$271:O412))*(M$269/12))</f>
        <v>496.05714627827416</v>
      </c>
      <c r="N413" s="288"/>
      <c r="O413" s="408">
        <f t="shared" si="49"/>
        <v>390.6421459170171</v>
      </c>
      <c r="P413" s="148"/>
      <c r="Q413" s="177"/>
      <c r="R413" s="177"/>
      <c r="S413" s="177"/>
      <c r="T413" s="148"/>
      <c r="U413" s="148"/>
      <c r="V413" s="148"/>
      <c r="W413" s="148"/>
      <c r="X413" s="148"/>
      <c r="Y413" s="148"/>
      <c r="Z413" s="148"/>
      <c r="AA413" s="148"/>
      <c r="AB413" s="148"/>
      <c r="AC413" s="148"/>
      <c r="AD413" s="148"/>
      <c r="AE413" s="148"/>
      <c r="AF413" s="148"/>
      <c r="AG413" s="148"/>
      <c r="AH413" s="148"/>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c r="BI413" s="148"/>
      <c r="BJ413" s="148"/>
      <c r="BK413" s="148"/>
    </row>
    <row r="414" spans="1:63" hidden="1" x14ac:dyDescent="0.25">
      <c r="A414" s="19"/>
      <c r="E414" s="138">
        <f t="shared" si="47"/>
        <v>46174</v>
      </c>
      <c r="F414" s="63">
        <f t="shared" si="46"/>
        <v>2026</v>
      </c>
      <c r="G414" s="124">
        <f t="shared" si="48"/>
        <v>12</v>
      </c>
      <c r="H414" s="19"/>
      <c r="I414" s="407">
        <f t="shared" si="50"/>
        <v>143</v>
      </c>
      <c r="J414" s="177"/>
      <c r="K414" s="177"/>
      <c r="L414" s="177"/>
      <c r="M414" s="288">
        <f>IF(G414&gt;$G$264,"",(SUM(O$269)-SUM(O$271:O413))*(M$269/12))</f>
        <v>494.59223823108528</v>
      </c>
      <c r="N414" s="288"/>
      <c r="O414" s="408">
        <f t="shared" si="49"/>
        <v>392.10705396420599</v>
      </c>
      <c r="P414" s="148"/>
      <c r="Q414" s="177"/>
      <c r="R414" s="177"/>
      <c r="S414" s="177"/>
      <c r="T414" s="148"/>
      <c r="U414" s="148"/>
      <c r="V414" s="148"/>
      <c r="W414" s="148"/>
      <c r="X414" s="148"/>
      <c r="Y414" s="148"/>
      <c r="Z414" s="148"/>
      <c r="AA414" s="148"/>
      <c r="AB414" s="148"/>
      <c r="AC414" s="148"/>
      <c r="AD414" s="148"/>
      <c r="AE414" s="148"/>
      <c r="AF414" s="148"/>
      <c r="AG414" s="148"/>
      <c r="AH414" s="148"/>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c r="BI414" s="148"/>
      <c r="BJ414" s="148"/>
      <c r="BK414" s="148"/>
    </row>
    <row r="415" spans="1:63" hidden="1" x14ac:dyDescent="0.25">
      <c r="A415" s="19"/>
      <c r="E415" s="138">
        <f t="shared" si="47"/>
        <v>46204</v>
      </c>
      <c r="F415" s="63">
        <f t="shared" si="46"/>
        <v>2026</v>
      </c>
      <c r="G415" s="124">
        <f t="shared" si="48"/>
        <v>12</v>
      </c>
      <c r="H415" s="19"/>
      <c r="I415" s="407">
        <f t="shared" si="50"/>
        <v>144</v>
      </c>
      <c r="J415" s="177"/>
      <c r="K415" s="177"/>
      <c r="L415" s="177"/>
      <c r="M415" s="288">
        <f>IF(G415&gt;$G$264,"",(SUM(O$269)-SUM(O$271:O414))*(M$269/12))</f>
        <v>493.12183677871957</v>
      </c>
      <c r="N415" s="288"/>
      <c r="O415" s="408">
        <f t="shared" si="49"/>
        <v>393.57745541657169</v>
      </c>
      <c r="P415" s="148"/>
      <c r="Q415" s="177"/>
      <c r="R415" s="177"/>
      <c r="S415" s="177"/>
      <c r="T415" s="148"/>
      <c r="U415" s="148"/>
      <c r="V415" s="148"/>
      <c r="W415" s="148"/>
      <c r="X415" s="148"/>
      <c r="Y415" s="148"/>
      <c r="Z415" s="148"/>
      <c r="AA415" s="148"/>
      <c r="AB415" s="148"/>
      <c r="AC415" s="148"/>
      <c r="AD415" s="148"/>
      <c r="AE415" s="148"/>
      <c r="AF415" s="148"/>
      <c r="AG415" s="148"/>
      <c r="AH415" s="148"/>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c r="BI415" s="148"/>
      <c r="BJ415" s="148"/>
      <c r="BK415" s="148"/>
    </row>
    <row r="416" spans="1:63" hidden="1" x14ac:dyDescent="0.25">
      <c r="A416" s="19"/>
      <c r="E416" s="138">
        <f t="shared" si="47"/>
        <v>46235</v>
      </c>
      <c r="F416" s="63">
        <f t="shared" si="46"/>
        <v>2026</v>
      </c>
      <c r="G416" s="124">
        <f t="shared" si="48"/>
        <v>13</v>
      </c>
      <c r="H416" s="19"/>
      <c r="I416" s="407">
        <f t="shared" si="50"/>
        <v>145</v>
      </c>
      <c r="J416" s="177"/>
      <c r="K416" s="177"/>
      <c r="L416" s="177"/>
      <c r="M416" s="288">
        <f>IF(G416&gt;$G$264,"",(SUM(O$269)-SUM(O$271:O415))*(M$269/12))</f>
        <v>491.64592132090741</v>
      </c>
      <c r="N416" s="288"/>
      <c r="O416" s="408">
        <f t="shared" si="49"/>
        <v>395.05337087438386</v>
      </c>
      <c r="P416" s="148"/>
      <c r="Q416" s="177"/>
      <c r="R416" s="177"/>
      <c r="S416" s="177"/>
      <c r="T416" s="148"/>
      <c r="U416" s="148"/>
      <c r="V416" s="148"/>
      <c r="W416" s="148"/>
      <c r="X416" s="148"/>
      <c r="Y416" s="148"/>
      <c r="Z416" s="148"/>
      <c r="AA416" s="148"/>
      <c r="AB416" s="148"/>
      <c r="AC416" s="148"/>
      <c r="AD416" s="148"/>
      <c r="AE416" s="148"/>
      <c r="AF416" s="148"/>
      <c r="AG416" s="148"/>
      <c r="AH416" s="148"/>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c r="BI416" s="148"/>
      <c r="BJ416" s="148"/>
      <c r="BK416" s="148"/>
    </row>
    <row r="417" spans="1:63" hidden="1" x14ac:dyDescent="0.25">
      <c r="A417" s="19"/>
      <c r="E417" s="138">
        <f t="shared" si="47"/>
        <v>46266</v>
      </c>
      <c r="F417" s="63">
        <f t="shared" si="46"/>
        <v>2026</v>
      </c>
      <c r="G417" s="124">
        <f t="shared" si="48"/>
        <v>13</v>
      </c>
      <c r="H417" s="19"/>
      <c r="I417" s="407">
        <f t="shared" si="50"/>
        <v>146</v>
      </c>
      <c r="J417" s="177"/>
      <c r="K417" s="177"/>
      <c r="L417" s="177"/>
      <c r="M417" s="288">
        <f>IF(G417&gt;$G$264,"",(SUM(O$269)-SUM(O$271:O416))*(M$269/12))</f>
        <v>490.16447118012849</v>
      </c>
      <c r="N417" s="288"/>
      <c r="O417" s="408">
        <f t="shared" si="49"/>
        <v>396.53482101516278</v>
      </c>
      <c r="P417" s="148"/>
      <c r="Q417" s="177"/>
      <c r="R417" s="177"/>
      <c r="S417" s="177"/>
      <c r="T417" s="148"/>
      <c r="U417" s="148"/>
      <c r="V417" s="148"/>
      <c r="W417" s="148"/>
      <c r="X417" s="148"/>
      <c r="Y417" s="148"/>
      <c r="Z417" s="148"/>
      <c r="AA417" s="148"/>
      <c r="AB417" s="148"/>
      <c r="AC417" s="148"/>
      <c r="AD417" s="148"/>
      <c r="AE417" s="148"/>
      <c r="AF417" s="148"/>
      <c r="AG417" s="148"/>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c r="BI417" s="148"/>
      <c r="BJ417" s="148"/>
      <c r="BK417" s="148"/>
    </row>
    <row r="418" spans="1:63" hidden="1" x14ac:dyDescent="0.25">
      <c r="A418" s="19"/>
      <c r="E418" s="138">
        <f t="shared" si="47"/>
        <v>46296</v>
      </c>
      <c r="F418" s="63">
        <f t="shared" si="46"/>
        <v>2026</v>
      </c>
      <c r="G418" s="124">
        <f t="shared" si="48"/>
        <v>13</v>
      </c>
      <c r="H418" s="19"/>
      <c r="I418" s="407">
        <f t="shared" si="50"/>
        <v>147</v>
      </c>
      <c r="J418" s="177"/>
      <c r="K418" s="177"/>
      <c r="L418" s="177"/>
      <c r="M418" s="288">
        <f>IF(G418&gt;$G$264,"",(SUM(O$269)-SUM(O$271:O417))*(M$269/12))</f>
        <v>488.67746560132156</v>
      </c>
      <c r="N418" s="288"/>
      <c r="O418" s="408">
        <f t="shared" si="49"/>
        <v>398.02182659396971</v>
      </c>
      <c r="P418" s="148"/>
      <c r="Q418" s="177"/>
      <c r="R418" s="177"/>
      <c r="S418" s="177"/>
      <c r="T418" s="148"/>
      <c r="U418" s="148"/>
      <c r="V418" s="148"/>
      <c r="W418" s="148"/>
      <c r="X418" s="148"/>
      <c r="Y418" s="148"/>
      <c r="Z418" s="148"/>
      <c r="AA418" s="148"/>
      <c r="AB418" s="148"/>
      <c r="AC418" s="148"/>
      <c r="AD418" s="148"/>
      <c r="AE418" s="148"/>
      <c r="AF418" s="148"/>
      <c r="AG418" s="148"/>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c r="BI418" s="148"/>
      <c r="BJ418" s="148"/>
      <c r="BK418" s="148"/>
    </row>
    <row r="419" spans="1:63" hidden="1" x14ac:dyDescent="0.25">
      <c r="A419" s="19"/>
      <c r="E419" s="138">
        <f t="shared" si="47"/>
        <v>46327</v>
      </c>
      <c r="F419" s="63">
        <f t="shared" si="46"/>
        <v>2026</v>
      </c>
      <c r="G419" s="124">
        <f t="shared" si="48"/>
        <v>13</v>
      </c>
      <c r="H419" s="19"/>
      <c r="I419" s="407">
        <f t="shared" si="50"/>
        <v>148</v>
      </c>
      <c r="J419" s="177"/>
      <c r="K419" s="177"/>
      <c r="L419" s="177"/>
      <c r="M419" s="288">
        <f>IF(G419&gt;$G$264,"",(SUM(O$269)-SUM(O$271:O418))*(M$269/12))</f>
        <v>487.18488375159421</v>
      </c>
      <c r="N419" s="288"/>
      <c r="O419" s="408">
        <f t="shared" si="49"/>
        <v>399.51440844369705</v>
      </c>
      <c r="P419" s="148"/>
      <c r="Q419" s="177"/>
      <c r="R419" s="177"/>
      <c r="S419" s="177"/>
      <c r="T419" s="148"/>
      <c r="U419" s="148"/>
      <c r="V419" s="148"/>
      <c r="W419" s="148"/>
      <c r="X419" s="148"/>
      <c r="Y419" s="148"/>
      <c r="Z419" s="148"/>
      <c r="AA419" s="148"/>
      <c r="AB419" s="148"/>
      <c r="AC419" s="148"/>
      <c r="AD419" s="148"/>
      <c r="AE419" s="148"/>
      <c r="AF419" s="148"/>
      <c r="AG419" s="148"/>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c r="BI419" s="148"/>
      <c r="BJ419" s="148"/>
      <c r="BK419" s="148"/>
    </row>
    <row r="420" spans="1:63" hidden="1" x14ac:dyDescent="0.25">
      <c r="A420" s="19"/>
      <c r="E420" s="138">
        <f t="shared" si="47"/>
        <v>46357</v>
      </c>
      <c r="F420" s="63">
        <f t="shared" si="46"/>
        <v>2026</v>
      </c>
      <c r="G420" s="124">
        <f t="shared" si="48"/>
        <v>13</v>
      </c>
      <c r="H420" s="19"/>
      <c r="I420" s="407">
        <f t="shared" si="50"/>
        <v>149</v>
      </c>
      <c r="J420" s="177"/>
      <c r="K420" s="177"/>
      <c r="L420" s="177"/>
      <c r="M420" s="288">
        <f>IF(G420&gt;$G$264,"",(SUM(O$269)-SUM(O$271:O419))*(M$269/12))</f>
        <v>485.68670471993033</v>
      </c>
      <c r="N420" s="288"/>
      <c r="O420" s="408">
        <f t="shared" si="49"/>
        <v>401.01258747536093</v>
      </c>
      <c r="P420" s="148"/>
      <c r="Q420" s="177"/>
      <c r="R420" s="177"/>
      <c r="S420" s="177"/>
      <c r="T420" s="148"/>
      <c r="U420" s="148"/>
      <c r="V420" s="148"/>
      <c r="W420" s="148"/>
      <c r="X420" s="148"/>
      <c r="Y420" s="148"/>
      <c r="Z420" s="148"/>
      <c r="AA420" s="148"/>
      <c r="AB420" s="148"/>
      <c r="AC420" s="148"/>
      <c r="AD420" s="148"/>
      <c r="AE420" s="148"/>
      <c r="AF420" s="148"/>
      <c r="AG420" s="148"/>
      <c r="AH420" s="148"/>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c r="BI420" s="148"/>
      <c r="BJ420" s="148"/>
      <c r="BK420" s="148"/>
    </row>
    <row r="421" spans="1:63" hidden="1" x14ac:dyDescent="0.25">
      <c r="A421" s="19"/>
      <c r="E421" s="138">
        <f t="shared" si="47"/>
        <v>46388</v>
      </c>
      <c r="F421" s="63">
        <f t="shared" si="46"/>
        <v>2027</v>
      </c>
      <c r="G421" s="124">
        <f t="shared" si="48"/>
        <v>13</v>
      </c>
      <c r="H421" s="19"/>
      <c r="I421" s="407">
        <f t="shared" si="50"/>
        <v>150</v>
      </c>
      <c r="J421" s="177"/>
      <c r="K421" s="177"/>
      <c r="L421" s="177"/>
      <c r="M421" s="288">
        <f>IF(G421&gt;$G$264,"",(SUM(O$269)-SUM(O$271:O420))*(M$269/12))</f>
        <v>484.18290751689773</v>
      </c>
      <c r="N421" s="288"/>
      <c r="O421" s="408">
        <f t="shared" si="49"/>
        <v>402.51638467839354</v>
      </c>
      <c r="P421" s="148"/>
      <c r="Q421" s="177"/>
      <c r="R421" s="177"/>
      <c r="S421" s="177"/>
      <c r="T421" s="148"/>
      <c r="U421" s="148"/>
      <c r="V421" s="148"/>
      <c r="W421" s="148"/>
      <c r="X421" s="148"/>
      <c r="Y421" s="148"/>
      <c r="Z421" s="148"/>
      <c r="AA421" s="148"/>
      <c r="AB421" s="148"/>
      <c r="AC421" s="148"/>
      <c r="AD421" s="148"/>
      <c r="AE421" s="148"/>
      <c r="AF421" s="148"/>
      <c r="AG421" s="148"/>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c r="BI421" s="148"/>
      <c r="BJ421" s="148"/>
      <c r="BK421" s="148"/>
    </row>
    <row r="422" spans="1:63" hidden="1" x14ac:dyDescent="0.25">
      <c r="A422" s="19"/>
      <c r="E422" s="138">
        <f t="shared" si="47"/>
        <v>46419</v>
      </c>
      <c r="F422" s="63">
        <f t="shared" si="46"/>
        <v>2027</v>
      </c>
      <c r="G422" s="124">
        <f t="shared" si="48"/>
        <v>13</v>
      </c>
      <c r="H422" s="19"/>
      <c r="I422" s="407">
        <f t="shared" si="50"/>
        <v>151</v>
      </c>
      <c r="J422" s="177"/>
      <c r="K422" s="177"/>
      <c r="L422" s="177"/>
      <c r="M422" s="288">
        <f>IF(G422&gt;$G$264,"",(SUM(O$269)-SUM(O$271:O421))*(M$269/12))</f>
        <v>482.67347107435376</v>
      </c>
      <c r="N422" s="288"/>
      <c r="O422" s="408">
        <f t="shared" si="49"/>
        <v>404.02582112093751</v>
      </c>
      <c r="P422" s="148"/>
      <c r="Q422" s="177"/>
      <c r="R422" s="177"/>
      <c r="S422" s="177"/>
      <c r="T422" s="148"/>
      <c r="U422" s="148"/>
      <c r="V422" s="148"/>
      <c r="W422" s="148"/>
      <c r="X422" s="148"/>
      <c r="Y422" s="148"/>
      <c r="Z422" s="148"/>
      <c r="AA422" s="148"/>
      <c r="AB422" s="148"/>
      <c r="AC422" s="148"/>
      <c r="AD422" s="148"/>
      <c r="AE422" s="148"/>
      <c r="AF422" s="148"/>
      <c r="AG422" s="148"/>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c r="BI422" s="148"/>
      <c r="BJ422" s="148"/>
      <c r="BK422" s="148"/>
    </row>
    <row r="423" spans="1:63" hidden="1" x14ac:dyDescent="0.25">
      <c r="A423" s="19"/>
      <c r="E423" s="138">
        <f t="shared" si="47"/>
        <v>46447</v>
      </c>
      <c r="F423" s="63">
        <f t="shared" si="46"/>
        <v>2027</v>
      </c>
      <c r="G423" s="124">
        <f t="shared" si="48"/>
        <v>13</v>
      </c>
      <c r="H423" s="19"/>
      <c r="I423" s="407">
        <f t="shared" si="50"/>
        <v>152</v>
      </c>
      <c r="J423" s="177"/>
      <c r="K423" s="177"/>
      <c r="L423" s="177"/>
      <c r="M423" s="288">
        <f>IF(G423&gt;$G$264,"",(SUM(O$269)-SUM(O$271:O422))*(M$269/12))</f>
        <v>481.15837424515024</v>
      </c>
      <c r="N423" s="288"/>
      <c r="O423" s="408">
        <f t="shared" si="49"/>
        <v>405.54091795014102</v>
      </c>
      <c r="P423" s="148"/>
      <c r="Q423" s="177"/>
      <c r="R423" s="177"/>
      <c r="S423" s="177"/>
      <c r="T423" s="148"/>
      <c r="U423" s="148"/>
      <c r="V423" s="148"/>
      <c r="W423" s="148"/>
      <c r="X423" s="148"/>
      <c r="Y423" s="148"/>
      <c r="Z423" s="148"/>
      <c r="AA423" s="148"/>
      <c r="AB423" s="148"/>
      <c r="AC423" s="148"/>
      <c r="AD423" s="148"/>
      <c r="AE423" s="148"/>
      <c r="AF423" s="148"/>
      <c r="AG423" s="148"/>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c r="BI423" s="148"/>
      <c r="BJ423" s="148"/>
      <c r="BK423" s="148"/>
    </row>
    <row r="424" spans="1:63" hidden="1" x14ac:dyDescent="0.25">
      <c r="A424" s="19"/>
      <c r="E424" s="138">
        <f t="shared" si="47"/>
        <v>46478</v>
      </c>
      <c r="F424" s="63">
        <f t="shared" si="46"/>
        <v>2027</v>
      </c>
      <c r="G424" s="124">
        <f t="shared" si="48"/>
        <v>13</v>
      </c>
      <c r="H424" s="19"/>
      <c r="I424" s="407">
        <f t="shared" si="50"/>
        <v>153</v>
      </c>
      <c r="J424" s="177"/>
      <c r="K424" s="177"/>
      <c r="L424" s="177"/>
      <c r="M424" s="288">
        <f>IF(G424&gt;$G$264,"",(SUM(O$269)-SUM(O$271:O423))*(M$269/12))</f>
        <v>479.63759580283721</v>
      </c>
      <c r="N424" s="288"/>
      <c r="O424" s="408">
        <f t="shared" si="49"/>
        <v>407.06169639245405</v>
      </c>
      <c r="P424" s="148"/>
      <c r="Q424" s="177"/>
      <c r="R424" s="177"/>
      <c r="S424" s="177"/>
      <c r="T424" s="148"/>
      <c r="U424" s="148"/>
      <c r="V424" s="148"/>
      <c r="W424" s="148"/>
      <c r="X424" s="148"/>
      <c r="Y424" s="148"/>
      <c r="Z424" s="148"/>
      <c r="AA424" s="148"/>
      <c r="AB424" s="148"/>
      <c r="AC424" s="148"/>
      <c r="AD424" s="148"/>
      <c r="AE424" s="148"/>
      <c r="AF424" s="148"/>
      <c r="AG424" s="148"/>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c r="BI424" s="148"/>
      <c r="BJ424" s="148"/>
      <c r="BK424" s="148"/>
    </row>
    <row r="425" spans="1:63" hidden="1" x14ac:dyDescent="0.25">
      <c r="A425" s="19"/>
      <c r="E425" s="138">
        <f t="shared" si="47"/>
        <v>46508</v>
      </c>
      <c r="F425" s="63">
        <f t="shared" si="46"/>
        <v>2027</v>
      </c>
      <c r="G425" s="124">
        <f t="shared" si="48"/>
        <v>13</v>
      </c>
      <c r="H425" s="19"/>
      <c r="I425" s="407">
        <f t="shared" si="50"/>
        <v>154</v>
      </c>
      <c r="J425" s="177"/>
      <c r="K425" s="177"/>
      <c r="L425" s="177"/>
      <c r="M425" s="288">
        <f>IF(G425&gt;$G$264,"",(SUM(O$269)-SUM(O$271:O424))*(M$269/12))</f>
        <v>478.11111444136554</v>
      </c>
      <c r="N425" s="288"/>
      <c r="O425" s="408">
        <f t="shared" si="49"/>
        <v>408.58817775392572</v>
      </c>
      <c r="P425" s="148"/>
      <c r="Q425" s="177"/>
      <c r="R425" s="177"/>
      <c r="S425" s="177"/>
      <c r="T425" s="148"/>
      <c r="U425" s="148"/>
      <c r="V425" s="148"/>
      <c r="W425" s="148"/>
      <c r="X425" s="148"/>
      <c r="Y425" s="148"/>
      <c r="Z425" s="148"/>
      <c r="AA425" s="148"/>
      <c r="AB425" s="148"/>
      <c r="AC425" s="148"/>
      <c r="AD425" s="148"/>
      <c r="AE425" s="148"/>
      <c r="AF425" s="148"/>
      <c r="AG425" s="148"/>
      <c r="AH425" s="148"/>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c r="BI425" s="148"/>
      <c r="BJ425" s="148"/>
      <c r="BK425" s="148"/>
    </row>
    <row r="426" spans="1:63" hidden="1" x14ac:dyDescent="0.25">
      <c r="A426" s="19"/>
      <c r="E426" s="138">
        <f t="shared" si="47"/>
        <v>46539</v>
      </c>
      <c r="F426" s="63">
        <f t="shared" si="46"/>
        <v>2027</v>
      </c>
      <c r="G426" s="124">
        <f t="shared" si="48"/>
        <v>13</v>
      </c>
      <c r="H426" s="19"/>
      <c r="I426" s="407">
        <f t="shared" si="50"/>
        <v>155</v>
      </c>
      <c r="J426" s="177"/>
      <c r="K426" s="177"/>
      <c r="L426" s="177"/>
      <c r="M426" s="288">
        <f>IF(G426&gt;$G$264,"",(SUM(O$269)-SUM(O$271:O425))*(M$269/12))</f>
        <v>476.57890877478826</v>
      </c>
      <c r="N426" s="288"/>
      <c r="O426" s="408">
        <f t="shared" si="49"/>
        <v>410.120383420503</v>
      </c>
      <c r="P426" s="148"/>
      <c r="Q426" s="177"/>
      <c r="R426" s="177"/>
      <c r="S426" s="177"/>
      <c r="T426" s="148"/>
      <c r="U426" s="148"/>
      <c r="V426" s="148"/>
      <c r="W426" s="148"/>
      <c r="X426" s="148"/>
      <c r="Y426" s="148"/>
      <c r="Z426" s="148"/>
      <c r="AA426" s="148"/>
      <c r="AB426" s="148"/>
      <c r="AC426" s="148"/>
      <c r="AD426" s="148"/>
      <c r="AE426" s="148"/>
      <c r="AF426" s="148"/>
      <c r="AG426" s="148"/>
      <c r="AH426" s="148"/>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c r="BI426" s="148"/>
      <c r="BJ426" s="148"/>
      <c r="BK426" s="148"/>
    </row>
    <row r="427" spans="1:63" hidden="1" x14ac:dyDescent="0.25">
      <c r="A427" s="19"/>
      <c r="E427" s="138">
        <f t="shared" si="47"/>
        <v>46569</v>
      </c>
      <c r="F427" s="63">
        <f t="shared" si="46"/>
        <v>2027</v>
      </c>
      <c r="G427" s="124">
        <f t="shared" si="48"/>
        <v>13</v>
      </c>
      <c r="H427" s="19"/>
      <c r="I427" s="407">
        <f t="shared" si="50"/>
        <v>156</v>
      </c>
      <c r="J427" s="177"/>
      <c r="K427" s="177"/>
      <c r="L427" s="177"/>
      <c r="M427" s="288">
        <f>IF(G427&gt;$G$264,"",(SUM(O$269)-SUM(O$271:O426))*(M$269/12))</f>
        <v>475.04095733696141</v>
      </c>
      <c r="N427" s="288"/>
      <c r="O427" s="408">
        <f t="shared" si="49"/>
        <v>411.65833485832985</v>
      </c>
      <c r="P427" s="148"/>
      <c r="Q427" s="177"/>
      <c r="R427" s="177"/>
      <c r="S427" s="177"/>
      <c r="T427" s="148"/>
      <c r="U427" s="148"/>
      <c r="V427" s="148"/>
      <c r="W427" s="148"/>
      <c r="X427" s="148"/>
      <c r="Y427" s="148"/>
      <c r="Z427" s="148"/>
      <c r="AA427" s="148"/>
      <c r="AB427" s="148"/>
      <c r="AC427" s="148"/>
      <c r="AD427" s="148"/>
      <c r="AE427" s="148"/>
      <c r="AF427" s="148"/>
      <c r="AG427" s="148"/>
      <c r="AH427" s="148"/>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c r="BI427" s="148"/>
      <c r="BJ427" s="148"/>
      <c r="BK427" s="148"/>
    </row>
    <row r="428" spans="1:63" hidden="1" x14ac:dyDescent="0.25">
      <c r="A428" s="19"/>
      <c r="E428" s="138">
        <f t="shared" si="47"/>
        <v>46600</v>
      </c>
      <c r="F428" s="63">
        <f t="shared" si="46"/>
        <v>2027</v>
      </c>
      <c r="G428" s="124">
        <f t="shared" si="48"/>
        <v>14</v>
      </c>
      <c r="H428" s="19"/>
      <c r="I428" s="407">
        <f t="shared" si="50"/>
        <v>157</v>
      </c>
      <c r="J428" s="177"/>
      <c r="K428" s="177"/>
      <c r="L428" s="177"/>
      <c r="M428" s="288">
        <f>IF(G428&gt;$G$264,"",(SUM(O$269)-SUM(O$271:O427))*(M$269/12))</f>
        <v>473.49723858124264</v>
      </c>
      <c r="N428" s="288"/>
      <c r="O428" s="408">
        <f t="shared" si="49"/>
        <v>413.20205361404862</v>
      </c>
      <c r="P428" s="148"/>
      <c r="Q428" s="177"/>
      <c r="R428" s="177"/>
      <c r="S428" s="177"/>
      <c r="T428" s="148"/>
      <c r="U428" s="148"/>
      <c r="V428" s="148"/>
      <c r="W428" s="148"/>
      <c r="X428" s="148"/>
      <c r="Y428" s="148"/>
      <c r="Z428" s="148"/>
      <c r="AA428" s="148"/>
      <c r="AB428" s="148"/>
      <c r="AC428" s="148"/>
      <c r="AD428" s="148"/>
      <c r="AE428" s="148"/>
      <c r="AF428" s="148"/>
      <c r="AG428" s="148"/>
      <c r="AH428" s="148"/>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c r="BI428" s="148"/>
      <c r="BJ428" s="148"/>
      <c r="BK428" s="148"/>
    </row>
    <row r="429" spans="1:63" hidden="1" x14ac:dyDescent="0.25">
      <c r="A429" s="19"/>
      <c r="E429" s="138">
        <f t="shared" si="47"/>
        <v>46631</v>
      </c>
      <c r="F429" s="63">
        <f t="shared" si="46"/>
        <v>2027</v>
      </c>
      <c r="G429" s="124">
        <f t="shared" si="48"/>
        <v>14</v>
      </c>
      <c r="H429" s="19"/>
      <c r="I429" s="407">
        <f t="shared" si="50"/>
        <v>158</v>
      </c>
      <c r="J429" s="177"/>
      <c r="K429" s="177"/>
      <c r="L429" s="177"/>
      <c r="M429" s="288">
        <f>IF(G429&gt;$G$264,"",(SUM(O$269)-SUM(O$271:O428))*(M$269/12))</f>
        <v>471.94773088018997</v>
      </c>
      <c r="N429" s="288"/>
      <c r="O429" s="408">
        <f t="shared" si="49"/>
        <v>414.7515613151013</v>
      </c>
      <c r="P429" s="148"/>
      <c r="Q429" s="177"/>
      <c r="R429" s="177"/>
      <c r="S429" s="177"/>
      <c r="T429" s="148"/>
      <c r="U429" s="148"/>
      <c r="V429" s="148"/>
      <c r="W429" s="148"/>
      <c r="X429" s="148"/>
      <c r="Y429" s="148"/>
      <c r="Z429" s="148"/>
      <c r="AA429" s="148"/>
      <c r="AB429" s="148"/>
      <c r="AC429" s="148"/>
      <c r="AD429" s="148"/>
      <c r="AE429" s="148"/>
      <c r="AF429" s="148"/>
      <c r="AG429" s="148"/>
      <c r="AH429" s="148"/>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c r="BI429" s="148"/>
      <c r="BJ429" s="148"/>
      <c r="BK429" s="148"/>
    </row>
    <row r="430" spans="1:63" hidden="1" x14ac:dyDescent="0.25">
      <c r="A430" s="19"/>
      <c r="E430" s="138">
        <f t="shared" si="47"/>
        <v>46661</v>
      </c>
      <c r="F430" s="63">
        <f t="shared" si="46"/>
        <v>2027</v>
      </c>
      <c r="G430" s="124">
        <f t="shared" si="48"/>
        <v>14</v>
      </c>
      <c r="H430" s="19"/>
      <c r="I430" s="407">
        <f t="shared" si="50"/>
        <v>159</v>
      </c>
      <c r="J430" s="177"/>
      <c r="K430" s="177"/>
      <c r="L430" s="177"/>
      <c r="M430" s="288">
        <f>IF(G430&gt;$G$264,"",(SUM(O$269)-SUM(O$271:O429))*(M$269/12))</f>
        <v>470.39241252525841</v>
      </c>
      <c r="N430" s="288"/>
      <c r="O430" s="408">
        <f t="shared" si="49"/>
        <v>416.30687967003286</v>
      </c>
      <c r="P430" s="148"/>
      <c r="Q430" s="177"/>
      <c r="R430" s="177"/>
      <c r="S430" s="177"/>
      <c r="T430" s="148"/>
      <c r="U430" s="148"/>
      <c r="V430" s="148"/>
      <c r="W430" s="148"/>
      <c r="X430" s="148"/>
      <c r="Y430" s="148"/>
      <c r="Z430" s="148"/>
      <c r="AA430" s="148"/>
      <c r="AB430" s="148"/>
      <c r="AC430" s="148"/>
      <c r="AD430" s="148"/>
      <c r="AE430" s="148"/>
      <c r="AF430" s="148"/>
      <c r="AG430" s="148"/>
      <c r="AH430" s="148"/>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c r="BI430" s="148"/>
      <c r="BJ430" s="148"/>
      <c r="BK430" s="148"/>
    </row>
    <row r="431" spans="1:63" hidden="1" x14ac:dyDescent="0.25">
      <c r="A431" s="19"/>
      <c r="E431" s="138">
        <f t="shared" si="47"/>
        <v>46692</v>
      </c>
      <c r="F431" s="63">
        <f t="shared" si="46"/>
        <v>2027</v>
      </c>
      <c r="G431" s="124">
        <f t="shared" si="48"/>
        <v>14</v>
      </c>
      <c r="H431" s="19"/>
      <c r="I431" s="407">
        <f t="shared" si="50"/>
        <v>160</v>
      </c>
      <c r="J431" s="177"/>
      <c r="K431" s="177"/>
      <c r="L431" s="177"/>
      <c r="M431" s="288">
        <f>IF(G431&gt;$G$264,"",(SUM(O$269)-SUM(O$271:O430))*(M$269/12))</f>
        <v>468.83126172649577</v>
      </c>
      <c r="N431" s="288"/>
      <c r="O431" s="408">
        <f t="shared" si="49"/>
        <v>417.8680304687955</v>
      </c>
      <c r="P431" s="148"/>
      <c r="Q431" s="177"/>
      <c r="R431" s="177"/>
      <c r="S431" s="177"/>
      <c r="T431" s="148"/>
      <c r="U431" s="148"/>
      <c r="V431" s="148"/>
      <c r="W431" s="148"/>
      <c r="X431" s="148"/>
      <c r="Y431" s="148"/>
      <c r="Z431" s="148"/>
      <c r="AA431" s="148"/>
      <c r="AB431" s="148"/>
      <c r="AC431" s="148"/>
      <c r="AD431" s="148"/>
      <c r="AE431" s="148"/>
      <c r="AF431" s="148"/>
      <c r="AG431" s="148"/>
      <c r="AH431" s="148"/>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c r="BI431" s="148"/>
      <c r="BJ431" s="148"/>
      <c r="BK431" s="148"/>
    </row>
    <row r="432" spans="1:63" hidden="1" x14ac:dyDescent="0.25">
      <c r="A432" s="19"/>
      <c r="E432" s="138">
        <f t="shared" si="47"/>
        <v>46722</v>
      </c>
      <c r="F432" s="63">
        <f t="shared" si="46"/>
        <v>2027</v>
      </c>
      <c r="G432" s="124">
        <f t="shared" si="48"/>
        <v>14</v>
      </c>
      <c r="H432" s="19"/>
      <c r="I432" s="407">
        <f t="shared" si="50"/>
        <v>161</v>
      </c>
      <c r="J432" s="177"/>
      <c r="K432" s="177"/>
      <c r="L432" s="177"/>
      <c r="M432" s="288">
        <f>IF(G432&gt;$G$264,"",(SUM(O$269)-SUM(O$271:O431))*(M$269/12))</f>
        <v>467.26425661223777</v>
      </c>
      <c r="N432" s="288"/>
      <c r="O432" s="408">
        <f t="shared" si="49"/>
        <v>419.43503558305349</v>
      </c>
      <c r="P432" s="148"/>
      <c r="Q432" s="177"/>
      <c r="R432" s="177"/>
      <c r="S432" s="177"/>
      <c r="T432" s="148"/>
      <c r="U432" s="148"/>
      <c r="V432" s="148"/>
      <c r="W432" s="148"/>
      <c r="X432" s="148"/>
      <c r="Y432" s="148"/>
      <c r="Z432" s="148"/>
      <c r="AA432" s="148"/>
      <c r="AB432" s="148"/>
      <c r="AC432" s="148"/>
      <c r="AD432" s="148"/>
      <c r="AE432" s="148"/>
      <c r="AF432" s="148"/>
      <c r="AG432" s="148"/>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c r="BI432" s="148"/>
      <c r="BJ432" s="148"/>
      <c r="BK432" s="148"/>
    </row>
    <row r="433" spans="1:63" hidden="1" x14ac:dyDescent="0.25">
      <c r="A433" s="19"/>
      <c r="E433" s="138">
        <f t="shared" si="47"/>
        <v>46753</v>
      </c>
      <c r="F433" s="63">
        <f t="shared" si="46"/>
        <v>2028</v>
      </c>
      <c r="G433" s="124">
        <f t="shared" si="48"/>
        <v>14</v>
      </c>
      <c r="H433" s="19"/>
      <c r="I433" s="407">
        <f t="shared" si="50"/>
        <v>162</v>
      </c>
      <c r="J433" s="177"/>
      <c r="K433" s="177"/>
      <c r="L433" s="177"/>
      <c r="M433" s="288">
        <f>IF(G433&gt;$G$264,"",(SUM(O$269)-SUM(O$271:O432))*(M$269/12))</f>
        <v>465.69137522880129</v>
      </c>
      <c r="N433" s="288"/>
      <c r="O433" s="408">
        <f t="shared" si="49"/>
        <v>421.00791696648997</v>
      </c>
      <c r="P433" s="148"/>
      <c r="Q433" s="177"/>
      <c r="R433" s="177"/>
      <c r="S433" s="177"/>
      <c r="T433" s="148"/>
      <c r="U433" s="148"/>
      <c r="V433" s="148"/>
      <c r="W433" s="148"/>
      <c r="X433" s="148"/>
      <c r="Y433" s="148"/>
      <c r="Z433" s="148"/>
      <c r="AA433" s="148"/>
      <c r="AB433" s="148"/>
      <c r="AC433" s="148"/>
      <c r="AD433" s="148"/>
      <c r="AE433" s="148"/>
      <c r="AF433" s="148"/>
      <c r="AG433" s="148"/>
      <c r="AH433" s="148"/>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c r="BI433" s="148"/>
      <c r="BJ433" s="148"/>
      <c r="BK433" s="148"/>
    </row>
    <row r="434" spans="1:63" hidden="1" x14ac:dyDescent="0.25">
      <c r="A434" s="19"/>
      <c r="E434" s="138">
        <f t="shared" si="47"/>
        <v>46784</v>
      </c>
      <c r="F434" s="63">
        <f t="shared" si="46"/>
        <v>2028</v>
      </c>
      <c r="G434" s="124">
        <f t="shared" si="48"/>
        <v>14</v>
      </c>
      <c r="H434" s="19"/>
      <c r="I434" s="407">
        <f t="shared" si="50"/>
        <v>163</v>
      </c>
      <c r="J434" s="177"/>
      <c r="K434" s="177"/>
      <c r="L434" s="177"/>
      <c r="M434" s="288">
        <f>IF(G434&gt;$G$264,"",(SUM(O$269)-SUM(O$271:O433))*(M$269/12))</f>
        <v>464.11259554017698</v>
      </c>
      <c r="N434" s="288"/>
      <c r="O434" s="408">
        <f t="shared" si="49"/>
        <v>422.58669665511428</v>
      </c>
      <c r="P434" s="148"/>
      <c r="Q434" s="177"/>
      <c r="R434" s="177"/>
      <c r="S434" s="177"/>
      <c r="T434" s="148"/>
      <c r="U434" s="148"/>
      <c r="V434" s="148"/>
      <c r="W434" s="148"/>
      <c r="X434" s="148"/>
      <c r="Y434" s="148"/>
      <c r="Z434" s="148"/>
      <c r="AA434" s="148"/>
      <c r="AB434" s="148"/>
      <c r="AC434" s="148"/>
      <c r="AD434" s="148"/>
      <c r="AE434" s="148"/>
      <c r="AF434" s="148"/>
      <c r="AG434" s="148"/>
      <c r="AH434" s="148"/>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c r="BI434" s="148"/>
      <c r="BJ434" s="148"/>
      <c r="BK434" s="148"/>
    </row>
    <row r="435" spans="1:63" hidden="1" x14ac:dyDescent="0.25">
      <c r="A435" s="19"/>
      <c r="E435" s="138">
        <f t="shared" si="47"/>
        <v>46813</v>
      </c>
      <c r="F435" s="63">
        <f t="shared" si="46"/>
        <v>2028</v>
      </c>
      <c r="G435" s="124">
        <f t="shared" si="48"/>
        <v>14</v>
      </c>
      <c r="H435" s="19"/>
      <c r="I435" s="407">
        <f t="shared" si="50"/>
        <v>164</v>
      </c>
      <c r="J435" s="177"/>
      <c r="K435" s="177"/>
      <c r="L435" s="177"/>
      <c r="M435" s="288">
        <f>IF(G435&gt;$G$264,"",(SUM(O$269)-SUM(O$271:O434))*(M$269/12))</f>
        <v>462.5278954277203</v>
      </c>
      <c r="N435" s="288"/>
      <c r="O435" s="408">
        <f t="shared" si="49"/>
        <v>424.17139676757097</v>
      </c>
      <c r="P435" s="148"/>
      <c r="Q435" s="177"/>
      <c r="R435" s="177"/>
      <c r="S435" s="177"/>
      <c r="T435" s="148"/>
      <c r="U435" s="148"/>
      <c r="V435" s="148"/>
      <c r="W435" s="148"/>
      <c r="X435" s="148"/>
      <c r="Y435" s="148"/>
      <c r="Z435" s="148"/>
      <c r="AA435" s="148"/>
      <c r="AB435" s="148"/>
      <c r="AC435" s="148"/>
      <c r="AD435" s="148"/>
      <c r="AE435" s="148"/>
      <c r="AF435" s="148"/>
      <c r="AG435" s="148"/>
      <c r="AH435" s="148"/>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c r="BI435" s="148"/>
      <c r="BJ435" s="148"/>
      <c r="BK435" s="148"/>
    </row>
    <row r="436" spans="1:63" hidden="1" x14ac:dyDescent="0.25">
      <c r="A436" s="19"/>
      <c r="E436" s="138">
        <f t="shared" si="47"/>
        <v>46844</v>
      </c>
      <c r="F436" s="63">
        <f t="shared" si="46"/>
        <v>2028</v>
      </c>
      <c r="G436" s="124">
        <f t="shared" si="48"/>
        <v>14</v>
      </c>
      <c r="H436" s="19"/>
      <c r="I436" s="407">
        <f t="shared" si="50"/>
        <v>165</v>
      </c>
      <c r="J436" s="177"/>
      <c r="K436" s="177"/>
      <c r="L436" s="177"/>
      <c r="M436" s="288">
        <f>IF(G436&gt;$G$264,"",(SUM(O$269)-SUM(O$271:O435))*(M$269/12))</f>
        <v>460.9372526898419</v>
      </c>
      <c r="N436" s="288"/>
      <c r="O436" s="408">
        <f t="shared" si="49"/>
        <v>425.76203950544937</v>
      </c>
      <c r="P436" s="148"/>
      <c r="Q436" s="177"/>
      <c r="R436" s="177"/>
      <c r="S436" s="177"/>
      <c r="T436" s="148"/>
      <c r="U436" s="148"/>
      <c r="V436" s="148"/>
      <c r="W436" s="148"/>
      <c r="X436" s="148"/>
      <c r="Y436" s="148"/>
      <c r="Z436" s="148"/>
      <c r="AA436" s="148"/>
      <c r="AB436" s="148"/>
      <c r="AC436" s="148"/>
      <c r="AD436" s="148"/>
      <c r="AE436" s="148"/>
      <c r="AF436" s="148"/>
      <c r="AG436" s="148"/>
      <c r="AH436" s="148"/>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c r="BI436" s="148"/>
      <c r="BJ436" s="148"/>
      <c r="BK436" s="148"/>
    </row>
    <row r="437" spans="1:63" hidden="1" x14ac:dyDescent="0.25">
      <c r="A437" s="19"/>
      <c r="E437" s="138">
        <f t="shared" si="47"/>
        <v>46874</v>
      </c>
      <c r="F437" s="63">
        <f t="shared" si="46"/>
        <v>2028</v>
      </c>
      <c r="G437" s="124">
        <f t="shared" si="48"/>
        <v>14</v>
      </c>
      <c r="H437" s="19"/>
      <c r="I437" s="407">
        <f t="shared" si="50"/>
        <v>166</v>
      </c>
      <c r="J437" s="177"/>
      <c r="K437" s="177"/>
      <c r="L437" s="177"/>
      <c r="M437" s="288">
        <f>IF(G437&gt;$G$264,"",(SUM(O$269)-SUM(O$271:O436))*(M$269/12))</f>
        <v>459.34064504169652</v>
      </c>
      <c r="N437" s="288"/>
      <c r="O437" s="408">
        <f t="shared" si="49"/>
        <v>427.35864715359475</v>
      </c>
      <c r="P437" s="148"/>
      <c r="Q437" s="177"/>
      <c r="R437" s="177"/>
      <c r="S437" s="177"/>
      <c r="T437" s="148"/>
      <c r="U437" s="148"/>
      <c r="V437" s="148"/>
      <c r="W437" s="148"/>
      <c r="X437" s="148"/>
      <c r="Y437" s="148"/>
      <c r="Z437" s="148"/>
      <c r="AA437" s="148"/>
      <c r="AB437" s="148"/>
      <c r="AC437" s="148"/>
      <c r="AD437" s="148"/>
      <c r="AE437" s="148"/>
      <c r="AF437" s="148"/>
      <c r="AG437" s="148"/>
      <c r="AH437" s="148"/>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c r="BI437" s="148"/>
      <c r="BJ437" s="148"/>
      <c r="BK437" s="148"/>
    </row>
    <row r="438" spans="1:63" hidden="1" x14ac:dyDescent="0.25">
      <c r="A438" s="19"/>
      <c r="E438" s="138">
        <f t="shared" si="47"/>
        <v>46905</v>
      </c>
      <c r="F438" s="63">
        <f t="shared" si="46"/>
        <v>2028</v>
      </c>
      <c r="G438" s="124">
        <f t="shared" si="48"/>
        <v>14</v>
      </c>
      <c r="H438" s="19"/>
      <c r="I438" s="407">
        <f t="shared" si="50"/>
        <v>167</v>
      </c>
      <c r="J438" s="177"/>
      <c r="K438" s="177"/>
      <c r="L438" s="177"/>
      <c r="M438" s="288">
        <f>IF(G438&gt;$G$264,"",(SUM(O$269)-SUM(O$271:O437))*(M$269/12))</f>
        <v>457.73805011487053</v>
      </c>
      <c r="N438" s="288"/>
      <c r="O438" s="408">
        <f t="shared" si="49"/>
        <v>428.96124208042073</v>
      </c>
      <c r="P438" s="148"/>
      <c r="Q438" s="177"/>
      <c r="R438" s="177"/>
      <c r="S438" s="177"/>
      <c r="T438" s="148"/>
      <c r="U438" s="148"/>
      <c r="V438" s="148"/>
      <c r="W438" s="148"/>
      <c r="X438" s="148"/>
      <c r="Y438" s="148"/>
      <c r="Z438" s="148"/>
      <c r="AA438" s="148"/>
      <c r="AB438" s="148"/>
      <c r="AC438" s="148"/>
      <c r="AD438" s="148"/>
      <c r="AE438" s="148"/>
      <c r="AF438" s="148"/>
      <c r="AG438" s="148"/>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c r="BI438" s="148"/>
      <c r="BJ438" s="148"/>
      <c r="BK438" s="148"/>
    </row>
    <row r="439" spans="1:63" hidden="1" x14ac:dyDescent="0.25">
      <c r="A439" s="19"/>
      <c r="E439" s="138">
        <f t="shared" si="47"/>
        <v>46935</v>
      </c>
      <c r="F439" s="63">
        <f t="shared" si="46"/>
        <v>2028</v>
      </c>
      <c r="G439" s="124">
        <f t="shared" si="48"/>
        <v>14</v>
      </c>
      <c r="H439" s="19"/>
      <c r="I439" s="407">
        <f t="shared" si="50"/>
        <v>168</v>
      </c>
      <c r="J439" s="177"/>
      <c r="K439" s="177"/>
      <c r="L439" s="177"/>
      <c r="M439" s="288">
        <f>IF(G439&gt;$G$264,"",(SUM(O$269)-SUM(O$271:O438))*(M$269/12))</f>
        <v>456.12944545706893</v>
      </c>
      <c r="N439" s="288"/>
      <c r="O439" s="408">
        <f t="shared" si="49"/>
        <v>430.56984673822234</v>
      </c>
      <c r="P439" s="148"/>
      <c r="Q439" s="177"/>
      <c r="R439" s="177"/>
      <c r="S439" s="177"/>
      <c r="T439" s="148"/>
      <c r="U439" s="148"/>
      <c r="V439" s="148"/>
      <c r="W439" s="148"/>
      <c r="X439" s="148"/>
      <c r="Y439" s="148"/>
      <c r="Z439" s="148"/>
      <c r="AA439" s="148"/>
      <c r="AB439" s="148"/>
      <c r="AC439" s="148"/>
      <c r="AD439" s="148"/>
      <c r="AE439" s="148"/>
      <c r="AF439" s="148"/>
      <c r="AG439" s="148"/>
      <c r="AH439" s="148"/>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c r="BI439" s="148"/>
      <c r="BJ439" s="148"/>
      <c r="BK439" s="148"/>
    </row>
    <row r="440" spans="1:63" hidden="1" x14ac:dyDescent="0.25">
      <c r="A440" s="19"/>
      <c r="E440" s="138">
        <f t="shared" si="47"/>
        <v>46966</v>
      </c>
      <c r="F440" s="63">
        <f t="shared" si="46"/>
        <v>2028</v>
      </c>
      <c r="G440" s="124">
        <f t="shared" si="48"/>
        <v>15</v>
      </c>
      <c r="H440" s="19"/>
      <c r="I440" s="407">
        <f t="shared" si="50"/>
        <v>169</v>
      </c>
      <c r="J440" s="177"/>
      <c r="K440" s="177"/>
      <c r="L440" s="177"/>
      <c r="M440" s="288">
        <f>IF(G440&gt;$G$264,"",(SUM(O$269)-SUM(O$271:O439))*(M$269/12))</f>
        <v>454.51480853180055</v>
      </c>
      <c r="N440" s="288"/>
      <c r="O440" s="408">
        <f t="shared" si="49"/>
        <v>432.18448366349071</v>
      </c>
      <c r="P440" s="148"/>
      <c r="Q440" s="177"/>
      <c r="R440" s="177"/>
      <c r="S440" s="177"/>
      <c r="T440" s="148"/>
      <c r="U440" s="148"/>
      <c r="V440" s="148"/>
      <c r="W440" s="148"/>
      <c r="X440" s="148"/>
      <c r="Y440" s="148"/>
      <c r="Z440" s="148"/>
      <c r="AA440" s="148"/>
      <c r="AB440" s="148"/>
      <c r="AC440" s="148"/>
      <c r="AD440" s="148"/>
      <c r="AE440" s="148"/>
      <c r="AF440" s="148"/>
      <c r="AG440" s="148"/>
      <c r="AH440" s="148"/>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c r="BI440" s="148"/>
      <c r="BJ440" s="148"/>
      <c r="BK440" s="148"/>
    </row>
    <row r="441" spans="1:63" hidden="1" x14ac:dyDescent="0.25">
      <c r="A441" s="19"/>
      <c r="E441" s="138">
        <f t="shared" si="47"/>
        <v>46997</v>
      </c>
      <c r="F441" s="63">
        <f t="shared" si="46"/>
        <v>2028</v>
      </c>
      <c r="G441" s="124">
        <f t="shared" si="48"/>
        <v>15</v>
      </c>
      <c r="H441" s="19"/>
      <c r="I441" s="407">
        <f t="shared" si="50"/>
        <v>170</v>
      </c>
      <c r="J441" s="177"/>
      <c r="K441" s="177"/>
      <c r="L441" s="177"/>
      <c r="M441" s="288">
        <f>IF(G441&gt;$G$264,"",(SUM(O$269)-SUM(O$271:O440))*(M$269/12))</f>
        <v>452.89411671806249</v>
      </c>
      <c r="N441" s="288"/>
      <c r="O441" s="408">
        <f t="shared" si="49"/>
        <v>433.80517547722877</v>
      </c>
      <c r="P441" s="148"/>
      <c r="Q441" s="177"/>
      <c r="R441" s="177"/>
      <c r="S441" s="177"/>
      <c r="T441" s="148"/>
      <c r="U441" s="148"/>
      <c r="V441" s="148"/>
      <c r="W441" s="148"/>
      <c r="X441" s="148"/>
      <c r="Y441" s="148"/>
      <c r="Z441" s="148"/>
      <c r="AA441" s="148"/>
      <c r="AB441" s="148"/>
      <c r="AC441" s="148"/>
      <c r="AD441" s="148"/>
      <c r="AE441" s="148"/>
      <c r="AF441" s="148"/>
      <c r="AG441" s="148"/>
      <c r="AH441" s="148"/>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c r="BI441" s="148"/>
      <c r="BJ441" s="148"/>
      <c r="BK441" s="148"/>
    </row>
    <row r="442" spans="1:63" hidden="1" x14ac:dyDescent="0.25">
      <c r="A442" s="19"/>
      <c r="E442" s="138">
        <f t="shared" si="47"/>
        <v>47027</v>
      </c>
      <c r="F442" s="63">
        <f t="shared" si="46"/>
        <v>2028</v>
      </c>
      <c r="G442" s="124">
        <f t="shared" si="48"/>
        <v>15</v>
      </c>
      <c r="H442" s="19"/>
      <c r="I442" s="407">
        <f t="shared" si="50"/>
        <v>171</v>
      </c>
      <c r="J442" s="177"/>
      <c r="K442" s="177"/>
      <c r="L442" s="177"/>
      <c r="M442" s="288">
        <f>IF(G442&gt;$G$264,"",(SUM(O$269)-SUM(O$271:O441))*(M$269/12))</f>
        <v>451.2673473100229</v>
      </c>
      <c r="N442" s="288"/>
      <c r="O442" s="408">
        <f t="shared" si="49"/>
        <v>435.43194488526836</v>
      </c>
      <c r="P442" s="148"/>
      <c r="Q442" s="177"/>
      <c r="R442" s="177"/>
      <c r="S442" s="177"/>
      <c r="T442" s="148"/>
      <c r="U442" s="148"/>
      <c r="V442" s="148"/>
      <c r="W442" s="148"/>
      <c r="X442" s="148"/>
      <c r="Y442" s="148"/>
      <c r="Z442" s="148"/>
      <c r="AA442" s="148"/>
      <c r="AB442" s="148"/>
      <c r="AC442" s="148"/>
      <c r="AD442" s="148"/>
      <c r="AE442" s="148"/>
      <c r="AF442" s="148"/>
      <c r="AG442" s="148"/>
      <c r="AH442" s="148"/>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c r="BI442" s="148"/>
      <c r="BJ442" s="148"/>
      <c r="BK442" s="148"/>
    </row>
    <row r="443" spans="1:63" hidden="1" x14ac:dyDescent="0.25">
      <c r="A443" s="19"/>
      <c r="E443" s="138">
        <f t="shared" si="47"/>
        <v>47058</v>
      </c>
      <c r="F443" s="63">
        <f t="shared" si="46"/>
        <v>2028</v>
      </c>
      <c r="G443" s="124">
        <f t="shared" si="48"/>
        <v>15</v>
      </c>
      <c r="H443" s="19"/>
      <c r="I443" s="407">
        <f t="shared" si="50"/>
        <v>172</v>
      </c>
      <c r="J443" s="177"/>
      <c r="K443" s="177"/>
      <c r="L443" s="177"/>
      <c r="M443" s="288">
        <f>IF(G443&gt;$G$264,"",(SUM(O$269)-SUM(O$271:O442))*(M$269/12))</f>
        <v>449.6344775167031</v>
      </c>
      <c r="N443" s="288"/>
      <c r="O443" s="408">
        <f t="shared" si="49"/>
        <v>437.06481467858816</v>
      </c>
      <c r="P443" s="148"/>
      <c r="Q443" s="177"/>
      <c r="R443" s="177"/>
      <c r="S443" s="177"/>
      <c r="T443" s="148"/>
      <c r="U443" s="148"/>
      <c r="V443" s="148"/>
      <c r="W443" s="148"/>
      <c r="X443" s="148"/>
      <c r="Y443" s="148"/>
      <c r="Z443" s="148"/>
      <c r="AA443" s="148"/>
      <c r="AB443" s="148"/>
      <c r="AC443" s="148"/>
      <c r="AD443" s="148"/>
      <c r="AE443" s="148"/>
      <c r="AF443" s="148"/>
      <c r="AG443" s="148"/>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c r="BI443" s="148"/>
      <c r="BJ443" s="148"/>
      <c r="BK443" s="148"/>
    </row>
    <row r="444" spans="1:63" hidden="1" x14ac:dyDescent="0.25">
      <c r="A444" s="19"/>
      <c r="E444" s="138">
        <f t="shared" si="47"/>
        <v>47088</v>
      </c>
      <c r="F444" s="63">
        <f t="shared" si="46"/>
        <v>2028</v>
      </c>
      <c r="G444" s="124">
        <f t="shared" si="48"/>
        <v>15</v>
      </c>
      <c r="H444" s="19"/>
      <c r="I444" s="407">
        <f t="shared" si="50"/>
        <v>173</v>
      </c>
      <c r="J444" s="177"/>
      <c r="K444" s="177"/>
      <c r="L444" s="177"/>
      <c r="M444" s="288">
        <f>IF(G444&gt;$G$264,"",(SUM(O$269)-SUM(O$271:O443))*(M$269/12))</f>
        <v>447.99548446165841</v>
      </c>
      <c r="N444" s="288"/>
      <c r="O444" s="408">
        <f t="shared" si="49"/>
        <v>438.70380773363286</v>
      </c>
      <c r="P444" s="148"/>
      <c r="Q444" s="177"/>
      <c r="R444" s="177"/>
      <c r="S444" s="177"/>
      <c r="T444" s="148"/>
      <c r="U444" s="148"/>
      <c r="V444" s="148"/>
      <c r="W444" s="148"/>
      <c r="X444" s="148"/>
      <c r="Y444" s="148"/>
      <c r="Z444" s="148"/>
      <c r="AA444" s="148"/>
      <c r="AB444" s="148"/>
      <c r="AC444" s="148"/>
      <c r="AD444" s="148"/>
      <c r="AE444" s="148"/>
      <c r="AF444" s="148"/>
      <c r="AG444" s="148"/>
      <c r="AH444" s="148"/>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c r="BI444" s="148"/>
      <c r="BJ444" s="148"/>
      <c r="BK444" s="148"/>
    </row>
    <row r="445" spans="1:63" hidden="1" x14ac:dyDescent="0.25">
      <c r="A445" s="19"/>
      <c r="E445" s="138">
        <f t="shared" si="47"/>
        <v>47119</v>
      </c>
      <c r="F445" s="63">
        <f t="shared" si="46"/>
        <v>2029</v>
      </c>
      <c r="G445" s="124">
        <f t="shared" si="48"/>
        <v>15</v>
      </c>
      <c r="H445" s="19"/>
      <c r="I445" s="407">
        <f t="shared" si="50"/>
        <v>174</v>
      </c>
      <c r="J445" s="177"/>
      <c r="K445" s="177"/>
      <c r="L445" s="177"/>
      <c r="M445" s="288">
        <f>IF(G445&gt;$G$264,"",(SUM(O$269)-SUM(O$271:O444))*(M$269/12))</f>
        <v>446.35034518265729</v>
      </c>
      <c r="N445" s="288"/>
      <c r="O445" s="408">
        <f t="shared" si="49"/>
        <v>440.34894701263397</v>
      </c>
      <c r="P445" s="148"/>
      <c r="Q445" s="177"/>
      <c r="R445" s="177"/>
      <c r="S445" s="177"/>
      <c r="T445" s="148"/>
      <c r="U445" s="148"/>
      <c r="V445" s="148"/>
      <c r="W445" s="148"/>
      <c r="X445" s="148"/>
      <c r="Y445" s="148"/>
      <c r="Z445" s="148"/>
      <c r="AA445" s="148"/>
      <c r="AB445" s="148"/>
      <c r="AC445" s="148"/>
      <c r="AD445" s="148"/>
      <c r="AE445" s="148"/>
      <c r="AF445" s="148"/>
      <c r="AG445" s="148"/>
      <c r="AH445" s="148"/>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c r="BI445" s="148"/>
      <c r="BJ445" s="148"/>
      <c r="BK445" s="148"/>
    </row>
    <row r="446" spans="1:63" hidden="1" x14ac:dyDescent="0.25">
      <c r="A446" s="19"/>
      <c r="E446" s="138">
        <f t="shared" si="47"/>
        <v>47150</v>
      </c>
      <c r="F446" s="63">
        <f t="shared" si="46"/>
        <v>2029</v>
      </c>
      <c r="G446" s="124">
        <f t="shared" si="48"/>
        <v>15</v>
      </c>
      <c r="H446" s="19"/>
      <c r="I446" s="407">
        <f t="shared" si="50"/>
        <v>175</v>
      </c>
      <c r="J446" s="177"/>
      <c r="K446" s="177"/>
      <c r="L446" s="177"/>
      <c r="M446" s="288">
        <f>IF(G446&gt;$G$264,"",(SUM(O$269)-SUM(O$271:O445))*(M$269/12))</f>
        <v>444.69903663135989</v>
      </c>
      <c r="N446" s="288"/>
      <c r="O446" s="408">
        <f t="shared" si="49"/>
        <v>442.00025556393138</v>
      </c>
      <c r="P446" s="148"/>
      <c r="Q446" s="177"/>
      <c r="R446" s="177"/>
      <c r="S446" s="177"/>
      <c r="T446" s="148"/>
      <c r="U446" s="148"/>
      <c r="V446" s="148"/>
      <c r="W446" s="148"/>
      <c r="X446" s="148"/>
      <c r="Y446" s="148"/>
      <c r="Z446" s="148"/>
      <c r="AA446" s="148"/>
      <c r="AB446" s="148"/>
      <c r="AC446" s="148"/>
      <c r="AD446" s="148"/>
      <c r="AE446" s="148"/>
      <c r="AF446" s="148"/>
      <c r="AG446" s="148"/>
      <c r="AH446" s="148"/>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c r="BI446" s="148"/>
      <c r="BJ446" s="148"/>
      <c r="BK446" s="148"/>
    </row>
    <row r="447" spans="1:63" hidden="1" x14ac:dyDescent="0.25">
      <c r="A447" s="19"/>
      <c r="E447" s="138">
        <f t="shared" si="47"/>
        <v>47178</v>
      </c>
      <c r="F447" s="63">
        <f t="shared" si="46"/>
        <v>2029</v>
      </c>
      <c r="G447" s="124">
        <f t="shared" si="48"/>
        <v>15</v>
      </c>
      <c r="H447" s="19"/>
      <c r="I447" s="407">
        <f t="shared" si="50"/>
        <v>176</v>
      </c>
      <c r="J447" s="177"/>
      <c r="K447" s="177"/>
      <c r="L447" s="177"/>
      <c r="M447" s="288">
        <f>IF(G447&gt;$G$264,"",(SUM(O$269)-SUM(O$271:O446))*(M$269/12))</f>
        <v>443.04153567299517</v>
      </c>
      <c r="N447" s="288"/>
      <c r="O447" s="408">
        <f t="shared" si="49"/>
        <v>443.6577565222961</v>
      </c>
      <c r="P447" s="148"/>
      <c r="Q447" s="177"/>
      <c r="R447" s="177"/>
      <c r="S447" s="177"/>
      <c r="T447" s="148"/>
      <c r="U447" s="148"/>
      <c r="V447" s="148"/>
      <c r="W447" s="148"/>
      <c r="X447" s="148"/>
      <c r="Y447" s="148"/>
      <c r="Z447" s="148"/>
      <c r="AA447" s="148"/>
      <c r="AB447" s="148"/>
      <c r="AC447" s="148"/>
      <c r="AD447" s="148"/>
      <c r="AE447" s="148"/>
      <c r="AF447" s="148"/>
      <c r="AG447" s="148"/>
      <c r="AH447" s="148"/>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c r="BI447" s="148"/>
      <c r="BJ447" s="148"/>
      <c r="BK447" s="148"/>
    </row>
    <row r="448" spans="1:63" hidden="1" x14ac:dyDescent="0.25">
      <c r="A448" s="19"/>
      <c r="E448" s="138">
        <f t="shared" si="47"/>
        <v>47209</v>
      </c>
      <c r="F448" s="63">
        <f t="shared" si="46"/>
        <v>2029</v>
      </c>
      <c r="G448" s="124">
        <f t="shared" si="48"/>
        <v>15</v>
      </c>
      <c r="H448" s="19"/>
      <c r="I448" s="407">
        <f t="shared" si="50"/>
        <v>177</v>
      </c>
      <c r="J448" s="177"/>
      <c r="K448" s="177"/>
      <c r="L448" s="177"/>
      <c r="M448" s="288">
        <f>IF(G448&gt;$G$264,"",(SUM(O$269)-SUM(O$271:O447))*(M$269/12))</f>
        <v>441.37781908603654</v>
      </c>
      <c r="N448" s="288"/>
      <c r="O448" s="408">
        <f t="shared" si="49"/>
        <v>445.32147310925473</v>
      </c>
      <c r="P448" s="148"/>
      <c r="Q448" s="177"/>
      <c r="R448" s="177"/>
      <c r="S448" s="177"/>
      <c r="T448" s="148"/>
      <c r="U448" s="148"/>
      <c r="V448" s="148"/>
      <c r="W448" s="148"/>
      <c r="X448" s="148"/>
      <c r="Y448" s="148"/>
      <c r="Z448" s="148"/>
      <c r="AA448" s="148"/>
      <c r="AB448" s="148"/>
      <c r="AC448" s="148"/>
      <c r="AD448" s="148"/>
      <c r="AE448" s="148"/>
      <c r="AF448" s="148"/>
      <c r="AG448" s="148"/>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c r="BI448" s="148"/>
      <c r="BJ448" s="148"/>
      <c r="BK448" s="148"/>
    </row>
    <row r="449" spans="1:63" hidden="1" x14ac:dyDescent="0.25">
      <c r="A449" s="19"/>
      <c r="E449" s="138">
        <f t="shared" si="47"/>
        <v>47239</v>
      </c>
      <c r="F449" s="63">
        <f t="shared" si="46"/>
        <v>2029</v>
      </c>
      <c r="G449" s="124">
        <f t="shared" si="48"/>
        <v>15</v>
      </c>
      <c r="H449" s="19"/>
      <c r="I449" s="407">
        <f t="shared" si="50"/>
        <v>178</v>
      </c>
      <c r="J449" s="177"/>
      <c r="K449" s="177"/>
      <c r="L449" s="177"/>
      <c r="M449" s="288">
        <f>IF(G449&gt;$G$264,"",(SUM(O$269)-SUM(O$271:O448))*(M$269/12))</f>
        <v>439.70786356187688</v>
      </c>
      <c r="N449" s="288"/>
      <c r="O449" s="408">
        <f t="shared" si="49"/>
        <v>446.99142863341439</v>
      </c>
      <c r="P449" s="148"/>
      <c r="Q449" s="177"/>
      <c r="R449" s="177"/>
      <c r="S449" s="177"/>
      <c r="T449" s="148"/>
      <c r="U449" s="148"/>
      <c r="V449" s="148"/>
      <c r="W449" s="148"/>
      <c r="X449" s="148"/>
      <c r="Y449" s="148"/>
      <c r="Z449" s="148"/>
      <c r="AA449" s="148"/>
      <c r="AB449" s="148"/>
      <c r="AC449" s="148"/>
      <c r="AD449" s="148"/>
      <c r="AE449" s="148"/>
      <c r="AF449" s="148"/>
      <c r="AG449" s="148"/>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c r="BI449" s="148"/>
      <c r="BJ449" s="148"/>
      <c r="BK449" s="148"/>
    </row>
    <row r="450" spans="1:63" hidden="1" x14ac:dyDescent="0.25">
      <c r="A450" s="19"/>
      <c r="E450" s="138">
        <f t="shared" si="47"/>
        <v>47270</v>
      </c>
      <c r="F450" s="63">
        <f t="shared" si="46"/>
        <v>2029</v>
      </c>
      <c r="G450" s="124">
        <f t="shared" si="48"/>
        <v>15</v>
      </c>
      <c r="H450" s="19"/>
      <c r="I450" s="407">
        <f t="shared" si="50"/>
        <v>179</v>
      </c>
      <c r="J450" s="177"/>
      <c r="K450" s="177"/>
      <c r="L450" s="177"/>
      <c r="M450" s="288">
        <f>IF(G450&gt;$G$264,"",(SUM(O$269)-SUM(O$271:O449))*(M$269/12))</f>
        <v>438.0316457045015</v>
      </c>
      <c r="N450" s="288"/>
      <c r="O450" s="408">
        <f t="shared" si="49"/>
        <v>448.66764649078976</v>
      </c>
      <c r="P450" s="148"/>
      <c r="Q450" s="177"/>
      <c r="R450" s="177"/>
      <c r="S450" s="177"/>
      <c r="T450" s="148"/>
      <c r="U450" s="148"/>
      <c r="V450" s="148"/>
      <c r="W450" s="148"/>
      <c r="X450" s="148"/>
      <c r="Y450" s="148"/>
      <c r="Z450" s="148"/>
      <c r="AA450" s="148"/>
      <c r="AB450" s="148"/>
      <c r="AC450" s="148"/>
      <c r="AD450" s="148"/>
      <c r="AE450" s="148"/>
      <c r="AF450" s="148"/>
      <c r="AG450" s="148"/>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c r="BI450" s="148"/>
      <c r="BJ450" s="148"/>
      <c r="BK450" s="148"/>
    </row>
    <row r="451" spans="1:63" hidden="1" x14ac:dyDescent="0.25">
      <c r="A451" s="19"/>
      <c r="E451" s="138">
        <f t="shared" si="47"/>
        <v>47300</v>
      </c>
      <c r="F451" s="63">
        <f t="shared" si="46"/>
        <v>2029</v>
      </c>
      <c r="G451" s="124">
        <f t="shared" si="48"/>
        <v>15</v>
      </c>
      <c r="H451" s="19"/>
      <c r="I451" s="407">
        <f t="shared" si="50"/>
        <v>180</v>
      </c>
      <c r="J451" s="177"/>
      <c r="K451" s="177"/>
      <c r="L451" s="177"/>
      <c r="M451" s="288">
        <f>IF(G451&gt;$G$264,"",(SUM(O$269)-SUM(O$271:O450))*(M$269/12))</f>
        <v>436.34914203016109</v>
      </c>
      <c r="N451" s="288"/>
      <c r="O451" s="408">
        <f t="shared" si="49"/>
        <v>450.35015016513017</v>
      </c>
      <c r="P451" s="148"/>
      <c r="Q451" s="177"/>
      <c r="R451" s="177"/>
      <c r="S451" s="177"/>
      <c r="T451" s="148"/>
      <c r="U451" s="148"/>
      <c r="V451" s="148"/>
      <c r="W451" s="148"/>
      <c r="X451" s="148"/>
      <c r="Y451" s="148"/>
      <c r="Z451" s="148"/>
      <c r="AA451" s="148"/>
      <c r="AB451" s="148"/>
      <c r="AC451" s="148"/>
      <c r="AD451" s="148"/>
      <c r="AE451" s="148"/>
      <c r="AF451" s="148"/>
      <c r="AG451" s="148"/>
      <c r="AH451" s="148"/>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c r="BI451" s="148"/>
      <c r="BJ451" s="148"/>
      <c r="BK451" s="148"/>
    </row>
    <row r="452" spans="1:63" hidden="1" x14ac:dyDescent="0.25">
      <c r="A452" s="19"/>
      <c r="E452" s="138">
        <f t="shared" si="47"/>
        <v>47331</v>
      </c>
      <c r="F452" s="63">
        <f>IF(M452="","",YEAR(E452))</f>
        <v>2029</v>
      </c>
      <c r="G452" s="124">
        <f t="shared" si="48"/>
        <v>16</v>
      </c>
      <c r="H452" s="19"/>
      <c r="I452" s="407">
        <f t="shared" si="50"/>
        <v>181</v>
      </c>
      <c r="J452" s="177"/>
      <c r="K452" s="177"/>
      <c r="L452" s="177"/>
      <c r="M452" s="288">
        <f>IF(G452&gt;$G$264,"",(SUM(O$269)-SUM(O$271:O451))*(M$269/12))</f>
        <v>434.66032896704183</v>
      </c>
      <c r="N452" s="288"/>
      <c r="O452" s="408">
        <f t="shared" si="49"/>
        <v>452.03896322824943</v>
      </c>
      <c r="P452" s="148"/>
      <c r="Q452" s="177"/>
      <c r="R452" s="177"/>
      <c r="S452" s="177"/>
      <c r="T452" s="148"/>
      <c r="U452" s="148"/>
      <c r="V452" s="148"/>
      <c r="W452" s="148"/>
      <c r="X452" s="148"/>
      <c r="Y452" s="148"/>
      <c r="Z452" s="148"/>
      <c r="AA452" s="148"/>
      <c r="AB452" s="148"/>
      <c r="AC452" s="148"/>
      <c r="AD452" s="148"/>
      <c r="AE452" s="148"/>
      <c r="AF452" s="148"/>
      <c r="AG452" s="148"/>
      <c r="AH452" s="148"/>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c r="BI452" s="148"/>
      <c r="BJ452" s="148"/>
      <c r="BK452" s="148"/>
    </row>
    <row r="453" spans="1:63" hidden="1" x14ac:dyDescent="0.25">
      <c r="A453" s="19"/>
      <c r="E453" s="138">
        <f t="shared" si="47"/>
        <v>47362</v>
      </c>
      <c r="F453" s="63">
        <f t="shared" ref="F453:F516" si="51">IF(M453="","",YEAR(E453))</f>
        <v>2029</v>
      </c>
      <c r="G453" s="124">
        <f t="shared" si="48"/>
        <v>16</v>
      </c>
      <c r="H453" s="19"/>
      <c r="I453" s="407">
        <f t="shared" si="50"/>
        <v>182</v>
      </c>
      <c r="J453" s="177"/>
      <c r="K453" s="177"/>
      <c r="L453" s="177"/>
      <c r="M453" s="288">
        <f>IF(G453&gt;$G$264,"",(SUM(O$269)-SUM(O$271:O452))*(M$269/12))</f>
        <v>432.9651828549359</v>
      </c>
      <c r="N453" s="288"/>
      <c r="O453" s="408">
        <f t="shared" si="49"/>
        <v>453.73410934035536</v>
      </c>
      <c r="P453" s="148"/>
      <c r="Q453" s="177"/>
      <c r="R453" s="177"/>
      <c r="S453" s="177"/>
      <c r="T453" s="148"/>
      <c r="U453" s="148"/>
      <c r="V453" s="148"/>
      <c r="W453" s="148"/>
      <c r="X453" s="148"/>
      <c r="Y453" s="148"/>
      <c r="Z453" s="148"/>
      <c r="AA453" s="148"/>
      <c r="AB453" s="148"/>
      <c r="AC453" s="148"/>
      <c r="AD453" s="148"/>
      <c r="AE453" s="148"/>
      <c r="AF453" s="148"/>
      <c r="AG453" s="148"/>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c r="BI453" s="148"/>
      <c r="BJ453" s="148"/>
      <c r="BK453" s="148"/>
    </row>
    <row r="454" spans="1:63" hidden="1" x14ac:dyDescent="0.25">
      <c r="A454" s="19"/>
      <c r="E454" s="138">
        <f t="shared" si="47"/>
        <v>47392</v>
      </c>
      <c r="F454" s="63">
        <f t="shared" si="51"/>
        <v>2029</v>
      </c>
      <c r="G454" s="124">
        <f t="shared" si="48"/>
        <v>16</v>
      </c>
      <c r="H454" s="19"/>
      <c r="I454" s="407">
        <f t="shared" si="50"/>
        <v>183</v>
      </c>
      <c r="J454" s="177"/>
      <c r="K454" s="177"/>
      <c r="L454" s="177"/>
      <c r="M454" s="288">
        <f>IF(G454&gt;$G$264,"",(SUM(O$269)-SUM(O$271:O453))*(M$269/12))</f>
        <v>431.2636799449096</v>
      </c>
      <c r="N454" s="288"/>
      <c r="O454" s="408">
        <f t="shared" si="49"/>
        <v>455.43561225038167</v>
      </c>
      <c r="P454" s="148"/>
      <c r="Q454" s="177"/>
      <c r="R454" s="177"/>
      <c r="S454" s="177"/>
      <c r="T454" s="148"/>
      <c r="U454" s="148"/>
      <c r="V454" s="148"/>
      <c r="W454" s="148"/>
      <c r="X454" s="148"/>
      <c r="Y454" s="148"/>
      <c r="Z454" s="148"/>
      <c r="AA454" s="148"/>
      <c r="AB454" s="148"/>
      <c r="AC454" s="148"/>
      <c r="AD454" s="148"/>
      <c r="AE454" s="148"/>
      <c r="AF454" s="148"/>
      <c r="AG454" s="148"/>
      <c r="AH454" s="148"/>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c r="BI454" s="148"/>
      <c r="BJ454" s="148"/>
      <c r="BK454" s="148"/>
    </row>
    <row r="455" spans="1:63" hidden="1" x14ac:dyDescent="0.25">
      <c r="A455" s="19"/>
      <c r="E455" s="138">
        <f t="shared" si="47"/>
        <v>47423</v>
      </c>
      <c r="F455" s="63">
        <f t="shared" si="51"/>
        <v>2029</v>
      </c>
      <c r="G455" s="124">
        <f t="shared" si="48"/>
        <v>16</v>
      </c>
      <c r="H455" s="19"/>
      <c r="I455" s="407">
        <f t="shared" si="50"/>
        <v>184</v>
      </c>
      <c r="J455" s="177"/>
      <c r="K455" s="177"/>
      <c r="L455" s="177"/>
      <c r="M455" s="288">
        <f>IF(G455&gt;$G$264,"",(SUM(O$269)-SUM(O$271:O454))*(M$269/12))</f>
        <v>429.5557963989707</v>
      </c>
      <c r="N455" s="288"/>
      <c r="O455" s="408">
        <f t="shared" si="49"/>
        <v>457.14349579632056</v>
      </c>
      <c r="P455" s="148"/>
      <c r="Q455" s="177"/>
      <c r="R455" s="177"/>
      <c r="S455" s="177"/>
      <c r="T455" s="148"/>
      <c r="U455" s="148"/>
      <c r="V455" s="148"/>
      <c r="W455" s="148"/>
      <c r="X455" s="148"/>
      <c r="Y455" s="148"/>
      <c r="Z455" s="148"/>
      <c r="AA455" s="148"/>
      <c r="AB455" s="148"/>
      <c r="AC455" s="148"/>
      <c r="AD455" s="148"/>
      <c r="AE455" s="148"/>
      <c r="AF455" s="148"/>
      <c r="AG455" s="148"/>
      <c r="AH455" s="148"/>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c r="BI455" s="148"/>
      <c r="BJ455" s="148"/>
      <c r="BK455" s="148"/>
    </row>
    <row r="456" spans="1:63" hidden="1" x14ac:dyDescent="0.25">
      <c r="A456" s="19"/>
      <c r="E456" s="138">
        <f t="shared" si="47"/>
        <v>47453</v>
      </c>
      <c r="F456" s="63">
        <f t="shared" si="51"/>
        <v>2029</v>
      </c>
      <c r="G456" s="124">
        <f t="shared" si="48"/>
        <v>16</v>
      </c>
      <c r="H456" s="19"/>
      <c r="I456" s="407">
        <f t="shared" si="50"/>
        <v>185</v>
      </c>
      <c r="J456" s="177"/>
      <c r="K456" s="177"/>
      <c r="L456" s="177"/>
      <c r="M456" s="288">
        <f>IF(G456&gt;$G$264,"",(SUM(O$269)-SUM(O$271:O455))*(M$269/12))</f>
        <v>427.84150828973446</v>
      </c>
      <c r="N456" s="288"/>
      <c r="O456" s="408">
        <f t="shared" si="49"/>
        <v>458.8577839055568</v>
      </c>
      <c r="P456" s="148"/>
      <c r="Q456" s="177"/>
      <c r="R456" s="177"/>
      <c r="S456" s="177"/>
      <c r="T456" s="148"/>
      <c r="U456" s="148"/>
      <c r="V456" s="148"/>
      <c r="W456" s="148"/>
      <c r="X456" s="148"/>
      <c r="Y456" s="148"/>
      <c r="Z456" s="148"/>
      <c r="AA456" s="148"/>
      <c r="AB456" s="148"/>
      <c r="AC456" s="148"/>
      <c r="AD456" s="148"/>
      <c r="AE456" s="148"/>
      <c r="AF456" s="148"/>
      <c r="AG456" s="148"/>
      <c r="AH456" s="148"/>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c r="BI456" s="148"/>
      <c r="BJ456" s="148"/>
      <c r="BK456" s="148"/>
    </row>
    <row r="457" spans="1:63" hidden="1" x14ac:dyDescent="0.25">
      <c r="A457" s="19"/>
      <c r="E457" s="138">
        <f t="shared" si="47"/>
        <v>47484</v>
      </c>
      <c r="F457" s="63">
        <f t="shared" si="51"/>
        <v>2030</v>
      </c>
      <c r="G457" s="124">
        <f t="shared" si="48"/>
        <v>16</v>
      </c>
      <c r="H457" s="19"/>
      <c r="I457" s="407">
        <f t="shared" si="50"/>
        <v>186</v>
      </c>
      <c r="J457" s="177"/>
      <c r="K457" s="177"/>
      <c r="L457" s="177"/>
      <c r="M457" s="288">
        <f>IF(G457&gt;$G$264,"",(SUM(O$269)-SUM(O$271:O456))*(M$269/12))</f>
        <v>426.12079160008864</v>
      </c>
      <c r="N457" s="288"/>
      <c r="O457" s="408">
        <f t="shared" si="49"/>
        <v>460.57850059520263</v>
      </c>
      <c r="P457" s="148"/>
      <c r="Q457" s="177"/>
      <c r="R457" s="177"/>
      <c r="S457" s="177"/>
      <c r="T457" s="148"/>
      <c r="U457" s="148"/>
      <c r="V457" s="148"/>
      <c r="W457" s="148"/>
      <c r="X457" s="148"/>
      <c r="Y457" s="148"/>
      <c r="Z457" s="148"/>
      <c r="AA457" s="148"/>
      <c r="AB457" s="148"/>
      <c r="AC457" s="148"/>
      <c r="AD457" s="148"/>
      <c r="AE457" s="148"/>
      <c r="AF457" s="148"/>
      <c r="AG457" s="148"/>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c r="BI457" s="148"/>
      <c r="BJ457" s="148"/>
      <c r="BK457" s="148"/>
    </row>
    <row r="458" spans="1:63" hidden="1" x14ac:dyDescent="0.25">
      <c r="A458" s="19"/>
      <c r="E458" s="138">
        <f t="shared" si="47"/>
        <v>47515</v>
      </c>
      <c r="F458" s="63">
        <f t="shared" si="51"/>
        <v>2030</v>
      </c>
      <c r="G458" s="124">
        <f t="shared" si="48"/>
        <v>16</v>
      </c>
      <c r="H458" s="19"/>
      <c r="I458" s="407">
        <f t="shared" si="50"/>
        <v>187</v>
      </c>
      <c r="J458" s="177"/>
      <c r="K458" s="177"/>
      <c r="L458" s="177"/>
      <c r="M458" s="288">
        <f>IF(G458&gt;$G$264,"",(SUM(O$269)-SUM(O$271:O457))*(M$269/12))</f>
        <v>424.39362222285661</v>
      </c>
      <c r="N458" s="288"/>
      <c r="O458" s="408">
        <f t="shared" si="49"/>
        <v>462.30566997243466</v>
      </c>
      <c r="P458" s="148"/>
      <c r="Q458" s="177"/>
      <c r="R458" s="177"/>
      <c r="S458" s="177"/>
      <c r="T458" s="148"/>
      <c r="U458" s="148"/>
      <c r="V458" s="148"/>
      <c r="W458" s="148"/>
      <c r="X458" s="148"/>
      <c r="Y458" s="148"/>
      <c r="Z458" s="148"/>
      <c r="AA458" s="148"/>
      <c r="AB458" s="148"/>
      <c r="AC458" s="148"/>
      <c r="AD458" s="148"/>
      <c r="AE458" s="148"/>
      <c r="AF458" s="148"/>
      <c r="AG458" s="148"/>
      <c r="AH458" s="148"/>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c r="BI458" s="148"/>
      <c r="BJ458" s="148"/>
      <c r="BK458" s="148"/>
    </row>
    <row r="459" spans="1:63" hidden="1" x14ac:dyDescent="0.25">
      <c r="A459" s="19"/>
      <c r="E459" s="138">
        <f t="shared" si="47"/>
        <v>47543</v>
      </c>
      <c r="F459" s="63">
        <f t="shared" si="51"/>
        <v>2030</v>
      </c>
      <c r="G459" s="124">
        <f t="shared" si="48"/>
        <v>16</v>
      </c>
      <c r="H459" s="19"/>
      <c r="I459" s="407">
        <f t="shared" si="50"/>
        <v>188</v>
      </c>
      <c r="J459" s="177"/>
      <c r="K459" s="177"/>
      <c r="L459" s="177"/>
      <c r="M459" s="288">
        <f>IF(G459&gt;$G$264,"",(SUM(O$269)-SUM(O$271:O458))*(M$269/12))</f>
        <v>422.65997596045997</v>
      </c>
      <c r="N459" s="288"/>
      <c r="O459" s="408">
        <f t="shared" si="49"/>
        <v>464.03931623483129</v>
      </c>
      <c r="P459" s="148"/>
      <c r="Q459" s="177"/>
      <c r="R459" s="177"/>
      <c r="S459" s="177"/>
      <c r="T459" s="148"/>
      <c r="U459" s="148"/>
      <c r="V459" s="148"/>
      <c r="W459" s="148"/>
      <c r="X459" s="148"/>
      <c r="Y459" s="148"/>
      <c r="Z459" s="148"/>
      <c r="AA459" s="148"/>
      <c r="AB459" s="148"/>
      <c r="AC459" s="148"/>
      <c r="AD459" s="148"/>
      <c r="AE459" s="148"/>
      <c r="AF459" s="148"/>
      <c r="AG459" s="148"/>
      <c r="AH459" s="148"/>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c r="BI459" s="148"/>
      <c r="BJ459" s="148"/>
      <c r="BK459" s="148"/>
    </row>
    <row r="460" spans="1:63" hidden="1" x14ac:dyDescent="0.25">
      <c r="A460" s="19"/>
      <c r="E460" s="138">
        <f t="shared" si="47"/>
        <v>47574</v>
      </c>
      <c r="F460" s="63">
        <f t="shared" si="51"/>
        <v>2030</v>
      </c>
      <c r="G460" s="124">
        <f t="shared" si="48"/>
        <v>16</v>
      </c>
      <c r="H460" s="19"/>
      <c r="I460" s="407">
        <f t="shared" si="50"/>
        <v>189</v>
      </c>
      <c r="J460" s="177"/>
      <c r="K460" s="177"/>
      <c r="L460" s="177"/>
      <c r="M460" s="288">
        <f>IF(G460&gt;$G$264,"",(SUM(O$269)-SUM(O$271:O459))*(M$269/12))</f>
        <v>420.91982852457937</v>
      </c>
      <c r="N460" s="288"/>
      <c r="O460" s="408">
        <f t="shared" si="49"/>
        <v>465.77946367071189</v>
      </c>
      <c r="P460" s="148"/>
      <c r="Q460" s="177"/>
      <c r="R460" s="177"/>
      <c r="S460" s="177"/>
      <c r="T460" s="148"/>
      <c r="U460" s="148"/>
      <c r="V460" s="148"/>
      <c r="W460" s="148"/>
      <c r="X460" s="148"/>
      <c r="Y460" s="148"/>
      <c r="Z460" s="148"/>
      <c r="AA460" s="148"/>
      <c r="AB460" s="148"/>
      <c r="AC460" s="148"/>
      <c r="AD460" s="148"/>
      <c r="AE460" s="148"/>
      <c r="AF460" s="148"/>
      <c r="AG460" s="148"/>
      <c r="AH460" s="148"/>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c r="BI460" s="148"/>
      <c r="BJ460" s="148"/>
      <c r="BK460" s="148"/>
    </row>
    <row r="461" spans="1:63" hidden="1" x14ac:dyDescent="0.25">
      <c r="A461" s="19"/>
      <c r="E461" s="138">
        <f t="shared" si="47"/>
        <v>47604</v>
      </c>
      <c r="F461" s="63">
        <f t="shared" si="51"/>
        <v>2030</v>
      </c>
      <c r="G461" s="124">
        <f t="shared" si="48"/>
        <v>16</v>
      </c>
      <c r="H461" s="19"/>
      <c r="I461" s="407">
        <f t="shared" si="50"/>
        <v>190</v>
      </c>
      <c r="J461" s="177"/>
      <c r="K461" s="177"/>
      <c r="L461" s="177"/>
      <c r="M461" s="288">
        <f>IF(G461&gt;$G$264,"",(SUM(O$269)-SUM(O$271:O460))*(M$269/12))</f>
        <v>419.1731555358142</v>
      </c>
      <c r="N461" s="288"/>
      <c r="O461" s="408">
        <f t="shared" si="49"/>
        <v>467.52613665947706</v>
      </c>
      <c r="P461" s="148"/>
      <c r="Q461" s="177"/>
      <c r="R461" s="177"/>
      <c r="S461" s="177"/>
      <c r="T461" s="148"/>
      <c r="U461" s="148"/>
      <c r="V461" s="148"/>
      <c r="W461" s="148"/>
      <c r="X461" s="148"/>
      <c r="Y461" s="148"/>
      <c r="Z461" s="148"/>
      <c r="AA461" s="148"/>
      <c r="AB461" s="148"/>
      <c r="AC461" s="148"/>
      <c r="AD461" s="148"/>
      <c r="AE461" s="148"/>
      <c r="AF461" s="148"/>
      <c r="AG461" s="148"/>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c r="BI461" s="148"/>
      <c r="BJ461" s="148"/>
      <c r="BK461" s="148"/>
    </row>
    <row r="462" spans="1:63" hidden="1" x14ac:dyDescent="0.25">
      <c r="A462" s="19"/>
      <c r="E462" s="138">
        <f t="shared" si="47"/>
        <v>47635</v>
      </c>
      <c r="F462" s="63">
        <f t="shared" si="51"/>
        <v>2030</v>
      </c>
      <c r="G462" s="124">
        <f t="shared" si="48"/>
        <v>16</v>
      </c>
      <c r="H462" s="19"/>
      <c r="I462" s="407">
        <f t="shared" si="50"/>
        <v>191</v>
      </c>
      <c r="J462" s="177"/>
      <c r="K462" s="177"/>
      <c r="L462" s="177"/>
      <c r="M462" s="288">
        <f>IF(G462&gt;$G$264,"",(SUM(O$269)-SUM(O$271:O461))*(M$269/12))</f>
        <v>417.41993252334112</v>
      </c>
      <c r="N462" s="288"/>
      <c r="O462" s="408">
        <f t="shared" si="49"/>
        <v>469.27935967195015</v>
      </c>
      <c r="P462" s="148"/>
      <c r="Q462" s="177"/>
      <c r="R462" s="177"/>
      <c r="S462" s="177"/>
      <c r="T462" s="148"/>
      <c r="U462" s="148"/>
      <c r="V462" s="148"/>
      <c r="W462" s="148"/>
      <c r="X462" s="148"/>
      <c r="Y462" s="148"/>
      <c r="Z462" s="148"/>
      <c r="AA462" s="148"/>
      <c r="AB462" s="148"/>
      <c r="AC462" s="148"/>
      <c r="AD462" s="148"/>
      <c r="AE462" s="148"/>
      <c r="AF462" s="148"/>
      <c r="AG462" s="148"/>
      <c r="AH462" s="148"/>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c r="BI462" s="148"/>
      <c r="BJ462" s="148"/>
      <c r="BK462" s="148"/>
    </row>
    <row r="463" spans="1:63" hidden="1" x14ac:dyDescent="0.25">
      <c r="A463" s="19"/>
      <c r="E463" s="138">
        <f t="shared" si="47"/>
        <v>47665</v>
      </c>
      <c r="F463" s="63">
        <f t="shared" si="51"/>
        <v>2030</v>
      </c>
      <c r="G463" s="124">
        <f t="shared" si="48"/>
        <v>16</v>
      </c>
      <c r="H463" s="19"/>
      <c r="I463" s="407">
        <f t="shared" si="50"/>
        <v>192</v>
      </c>
      <c r="J463" s="177"/>
      <c r="K463" s="177"/>
      <c r="L463" s="177"/>
      <c r="M463" s="288">
        <f>IF(G463&gt;$G$264,"",(SUM(O$269)-SUM(O$271:O462))*(M$269/12))</f>
        <v>415.66013492457131</v>
      </c>
      <c r="N463" s="288"/>
      <c r="O463" s="408">
        <f t="shared" si="49"/>
        <v>471.03915727071995</v>
      </c>
      <c r="P463" s="148"/>
      <c r="Q463" s="177"/>
      <c r="R463" s="177"/>
      <c r="S463" s="177"/>
      <c r="T463" s="148"/>
      <c r="U463" s="148"/>
      <c r="V463" s="148"/>
      <c r="W463" s="148"/>
      <c r="X463" s="148"/>
      <c r="Y463" s="148"/>
      <c r="Z463" s="148"/>
      <c r="AA463" s="148"/>
      <c r="AB463" s="148"/>
      <c r="AC463" s="148"/>
      <c r="AD463" s="148"/>
      <c r="AE463" s="148"/>
      <c r="AF463" s="148"/>
      <c r="AG463" s="148"/>
      <c r="AH463" s="148"/>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c r="BI463" s="148"/>
      <c r="BJ463" s="148"/>
      <c r="BK463" s="148"/>
    </row>
    <row r="464" spans="1:63" hidden="1" x14ac:dyDescent="0.25">
      <c r="A464" s="19"/>
      <c r="E464" s="138">
        <f t="shared" si="47"/>
        <v>47696</v>
      </c>
      <c r="F464" s="63">
        <f t="shared" si="51"/>
        <v>2030</v>
      </c>
      <c r="G464" s="124">
        <f t="shared" si="48"/>
        <v>17</v>
      </c>
      <c r="H464" s="19"/>
      <c r="I464" s="407">
        <f t="shared" si="50"/>
        <v>193</v>
      </c>
      <c r="J464" s="177"/>
      <c r="K464" s="177"/>
      <c r="L464" s="177"/>
      <c r="M464" s="288">
        <f>IF(G464&gt;$G$264,"",(SUM(O$269)-SUM(O$271:O463))*(M$269/12))</f>
        <v>413.8937380848061</v>
      </c>
      <c r="N464" s="288"/>
      <c r="O464" s="408">
        <f t="shared" si="49"/>
        <v>472.80555411048516</v>
      </c>
      <c r="P464" s="148"/>
      <c r="Q464" s="177"/>
      <c r="R464" s="177"/>
      <c r="S464" s="177"/>
      <c r="T464" s="148"/>
      <c r="U464" s="148"/>
      <c r="V464" s="148"/>
      <c r="W464" s="148"/>
      <c r="X464" s="148"/>
      <c r="Y464" s="148"/>
      <c r="Z464" s="148"/>
      <c r="AA464" s="148"/>
      <c r="AB464" s="148"/>
      <c r="AC464" s="148"/>
      <c r="AD464" s="148"/>
      <c r="AE464" s="148"/>
      <c r="AF464" s="148"/>
      <c r="AG464" s="148"/>
      <c r="AH464" s="148"/>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c r="BI464" s="148"/>
      <c r="BJ464" s="148"/>
      <c r="BK464" s="148"/>
    </row>
    <row r="465" spans="1:63" hidden="1" x14ac:dyDescent="0.25">
      <c r="A465" s="19"/>
      <c r="E465" s="138">
        <f t="shared" ref="E465:E528" si="52">EDATE(E464,1)</f>
        <v>47727</v>
      </c>
      <c r="F465" s="63">
        <f t="shared" si="51"/>
        <v>2030</v>
      </c>
      <c r="G465" s="124">
        <f t="shared" ref="G465:G528" si="53">ROUNDUP(I465/12,0)</f>
        <v>17</v>
      </c>
      <c r="H465" s="19"/>
      <c r="I465" s="407">
        <f t="shared" si="50"/>
        <v>194</v>
      </c>
      <c r="J465" s="177"/>
      <c r="K465" s="177"/>
      <c r="L465" s="177"/>
      <c r="M465" s="288">
        <f>IF(G465&gt;$G$264,"",(SUM(O$269)-SUM(O$271:O464))*(M$269/12))</f>
        <v>412.12071725689179</v>
      </c>
      <c r="N465" s="288"/>
      <c r="O465" s="408">
        <f t="shared" ref="O465:O528" si="54">IF(M465="","",M$270-M465)</f>
        <v>474.57857493839947</v>
      </c>
      <c r="P465" s="148"/>
      <c r="Q465" s="177"/>
      <c r="R465" s="177"/>
      <c r="S465" s="177"/>
      <c r="T465" s="148"/>
      <c r="U465" s="148"/>
      <c r="V465" s="148"/>
      <c r="W465" s="148"/>
      <c r="X465" s="148"/>
      <c r="Y465" s="148"/>
      <c r="Z465" s="148"/>
      <c r="AA465" s="148"/>
      <c r="AB465" s="148"/>
      <c r="AC465" s="148"/>
      <c r="AD465" s="148"/>
      <c r="AE465" s="148"/>
      <c r="AF465" s="148"/>
      <c r="AG465" s="148"/>
      <c r="AH465" s="148"/>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c r="BI465" s="148"/>
      <c r="BJ465" s="148"/>
      <c r="BK465" s="148"/>
    </row>
    <row r="466" spans="1:63" hidden="1" x14ac:dyDescent="0.25">
      <c r="A466" s="19"/>
      <c r="E466" s="138">
        <f t="shared" si="52"/>
        <v>47757</v>
      </c>
      <c r="F466" s="63">
        <f t="shared" si="51"/>
        <v>2030</v>
      </c>
      <c r="G466" s="124">
        <f t="shared" si="53"/>
        <v>17</v>
      </c>
      <c r="H466" s="19"/>
      <c r="I466" s="407">
        <f t="shared" ref="I466:I529" si="55">I465+1</f>
        <v>195</v>
      </c>
      <c r="J466" s="177"/>
      <c r="K466" s="177"/>
      <c r="L466" s="177"/>
      <c r="M466" s="288">
        <f>IF(G466&gt;$G$264,"",(SUM(O$269)-SUM(O$271:O465))*(M$269/12))</f>
        <v>410.34104760087286</v>
      </c>
      <c r="N466" s="288"/>
      <c r="O466" s="408">
        <f t="shared" si="54"/>
        <v>476.35824459441841</v>
      </c>
      <c r="P466" s="148"/>
      <c r="Q466" s="177"/>
      <c r="R466" s="177"/>
      <c r="S466" s="177"/>
      <c r="T466" s="148"/>
      <c r="U466" s="148"/>
      <c r="V466" s="148"/>
      <c r="W466" s="148"/>
      <c r="X466" s="148"/>
      <c r="Y466" s="148"/>
      <c r="Z466" s="148"/>
      <c r="AA466" s="148"/>
      <c r="AB466" s="148"/>
      <c r="AC466" s="148"/>
      <c r="AD466" s="148"/>
      <c r="AE466" s="148"/>
      <c r="AF466" s="148"/>
      <c r="AG466" s="148"/>
      <c r="AH466" s="148"/>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c r="BI466" s="148"/>
      <c r="BJ466" s="148"/>
      <c r="BK466" s="148"/>
    </row>
    <row r="467" spans="1:63" hidden="1" x14ac:dyDescent="0.25">
      <c r="A467" s="19"/>
      <c r="E467" s="138">
        <f t="shared" si="52"/>
        <v>47788</v>
      </c>
      <c r="F467" s="63">
        <f t="shared" si="51"/>
        <v>2030</v>
      </c>
      <c r="G467" s="124">
        <f t="shared" si="53"/>
        <v>17</v>
      </c>
      <c r="H467" s="19"/>
      <c r="I467" s="407">
        <f t="shared" si="55"/>
        <v>196</v>
      </c>
      <c r="J467" s="177"/>
      <c r="K467" s="177"/>
      <c r="L467" s="177"/>
      <c r="M467" s="288">
        <f>IF(G467&gt;$G$264,"",(SUM(O$269)-SUM(O$271:O466))*(M$269/12))</f>
        <v>408.55470418364376</v>
      </c>
      <c r="N467" s="288"/>
      <c r="O467" s="408">
        <f t="shared" si="54"/>
        <v>478.1445880116475</v>
      </c>
      <c r="P467" s="148"/>
      <c r="Q467" s="177"/>
      <c r="R467" s="177"/>
      <c r="S467" s="177"/>
      <c r="T467" s="148"/>
      <c r="U467" s="148"/>
      <c r="V467" s="148"/>
      <c r="W467" s="148"/>
      <c r="X467" s="148"/>
      <c r="Y467" s="148"/>
      <c r="Z467" s="148"/>
      <c r="AA467" s="148"/>
      <c r="AB467" s="148"/>
      <c r="AC467" s="148"/>
      <c r="AD467" s="148"/>
      <c r="AE467" s="148"/>
      <c r="AF467" s="148"/>
      <c r="AG467" s="148"/>
      <c r="AH467" s="148"/>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c r="BI467" s="148"/>
      <c r="BJ467" s="148"/>
      <c r="BK467" s="148"/>
    </row>
    <row r="468" spans="1:63" hidden="1" x14ac:dyDescent="0.25">
      <c r="A468" s="19"/>
      <c r="E468" s="138">
        <f t="shared" si="52"/>
        <v>47818</v>
      </c>
      <c r="F468" s="63">
        <f t="shared" si="51"/>
        <v>2030</v>
      </c>
      <c r="G468" s="124">
        <f t="shared" si="53"/>
        <v>17</v>
      </c>
      <c r="H468" s="19"/>
      <c r="I468" s="407">
        <f t="shared" si="55"/>
        <v>197</v>
      </c>
      <c r="J468" s="177"/>
      <c r="K468" s="177"/>
      <c r="L468" s="177"/>
      <c r="M468" s="288">
        <f>IF(G468&gt;$G$264,"",(SUM(O$269)-SUM(O$271:O467))*(M$269/12))</f>
        <v>406.76166197860005</v>
      </c>
      <c r="N468" s="288"/>
      <c r="O468" s="408">
        <f t="shared" si="54"/>
        <v>479.93763021669122</v>
      </c>
      <c r="P468" s="148"/>
      <c r="Q468" s="177"/>
      <c r="R468" s="177"/>
      <c r="S468" s="177"/>
      <c r="T468" s="148"/>
      <c r="U468" s="148"/>
      <c r="V468" s="148"/>
      <c r="W468" s="148"/>
      <c r="X468" s="148"/>
      <c r="Y468" s="148"/>
      <c r="Z468" s="148"/>
      <c r="AA468" s="148"/>
      <c r="AB468" s="148"/>
      <c r="AC468" s="148"/>
      <c r="AD468" s="148"/>
      <c r="AE468" s="148"/>
      <c r="AF468" s="148"/>
      <c r="AG468" s="148"/>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c r="BI468" s="148"/>
      <c r="BJ468" s="148"/>
      <c r="BK468" s="148"/>
    </row>
    <row r="469" spans="1:63" hidden="1" x14ac:dyDescent="0.25">
      <c r="A469" s="19"/>
      <c r="E469" s="138">
        <f t="shared" si="52"/>
        <v>47849</v>
      </c>
      <c r="F469" s="63">
        <f t="shared" si="51"/>
        <v>2031</v>
      </c>
      <c r="G469" s="124">
        <f t="shared" si="53"/>
        <v>17</v>
      </c>
      <c r="H469" s="19"/>
      <c r="I469" s="407">
        <f t="shared" si="55"/>
        <v>198</v>
      </c>
      <c r="J469" s="177"/>
      <c r="K469" s="177"/>
      <c r="L469" s="177"/>
      <c r="M469" s="288">
        <f>IF(G469&gt;$G$264,"",(SUM(O$269)-SUM(O$271:O468))*(M$269/12))</f>
        <v>404.96189586528749</v>
      </c>
      <c r="N469" s="288"/>
      <c r="O469" s="408">
        <f t="shared" si="54"/>
        <v>481.73739633000378</v>
      </c>
      <c r="P469" s="148"/>
      <c r="Q469" s="177"/>
      <c r="R469" s="177"/>
      <c r="S469" s="177"/>
      <c r="T469" s="148"/>
      <c r="U469" s="148"/>
      <c r="V469" s="148"/>
      <c r="W469" s="148"/>
      <c r="X469" s="148"/>
      <c r="Y469" s="148"/>
      <c r="Z469" s="148"/>
      <c r="AA469" s="148"/>
      <c r="AB469" s="148"/>
      <c r="AC469" s="148"/>
      <c r="AD469" s="148"/>
      <c r="AE469" s="148"/>
      <c r="AF469" s="148"/>
      <c r="AG469" s="148"/>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c r="BI469" s="148"/>
      <c r="BJ469" s="148"/>
      <c r="BK469" s="148"/>
    </row>
    <row r="470" spans="1:63" hidden="1" x14ac:dyDescent="0.25">
      <c r="A470" s="19"/>
      <c r="E470" s="138">
        <f t="shared" si="52"/>
        <v>47880</v>
      </c>
      <c r="F470" s="63">
        <f t="shared" si="51"/>
        <v>2031</v>
      </c>
      <c r="G470" s="124">
        <f t="shared" si="53"/>
        <v>17</v>
      </c>
      <c r="H470" s="19"/>
      <c r="I470" s="407">
        <f t="shared" si="55"/>
        <v>199</v>
      </c>
      <c r="J470" s="177"/>
      <c r="K470" s="177"/>
      <c r="L470" s="177"/>
      <c r="M470" s="288">
        <f>IF(G470&gt;$G$264,"",(SUM(O$269)-SUM(O$271:O469))*(M$269/12))</f>
        <v>403.15538062904994</v>
      </c>
      <c r="N470" s="288"/>
      <c r="O470" s="408">
        <f t="shared" si="54"/>
        <v>483.54391156624132</v>
      </c>
      <c r="P470" s="148"/>
      <c r="Q470" s="177"/>
      <c r="R470" s="177"/>
      <c r="S470" s="177"/>
      <c r="T470" s="148"/>
      <c r="U470" s="148"/>
      <c r="V470" s="148"/>
      <c r="W470" s="148"/>
      <c r="X470" s="148"/>
      <c r="Y470" s="148"/>
      <c r="Z470" s="148"/>
      <c r="AA470" s="148"/>
      <c r="AB470" s="148"/>
      <c r="AC470" s="148"/>
      <c r="AD470" s="148"/>
      <c r="AE470" s="148"/>
      <c r="AF470" s="148"/>
      <c r="AG470" s="148"/>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c r="BI470" s="148"/>
      <c r="BJ470" s="148"/>
      <c r="BK470" s="148"/>
    </row>
    <row r="471" spans="1:63" hidden="1" x14ac:dyDescent="0.25">
      <c r="A471" s="19"/>
      <c r="E471" s="138">
        <f t="shared" si="52"/>
        <v>47908</v>
      </c>
      <c r="F471" s="63">
        <f t="shared" si="51"/>
        <v>2031</v>
      </c>
      <c r="G471" s="124">
        <f t="shared" si="53"/>
        <v>17</v>
      </c>
      <c r="H471" s="19"/>
      <c r="I471" s="407">
        <f t="shared" si="55"/>
        <v>200</v>
      </c>
      <c r="J471" s="177"/>
      <c r="K471" s="177"/>
      <c r="L471" s="177"/>
      <c r="M471" s="288">
        <f>IF(G471&gt;$G$264,"",(SUM(O$269)-SUM(O$271:O470))*(M$269/12))</f>
        <v>401.3420909606765</v>
      </c>
      <c r="N471" s="288"/>
      <c r="O471" s="408">
        <f t="shared" si="54"/>
        <v>485.35720123461476</v>
      </c>
      <c r="P471" s="148"/>
      <c r="Q471" s="177"/>
      <c r="R471" s="177"/>
      <c r="S471" s="177"/>
      <c r="T471" s="148"/>
      <c r="U471" s="148"/>
      <c r="V471" s="148"/>
      <c r="W471" s="148"/>
      <c r="X471" s="148"/>
      <c r="Y471" s="148"/>
      <c r="Z471" s="148"/>
      <c r="AA471" s="148"/>
      <c r="AB471" s="148"/>
      <c r="AC471" s="148"/>
      <c r="AD471" s="148"/>
      <c r="AE471" s="148"/>
      <c r="AF471" s="148"/>
      <c r="AG471" s="148"/>
      <c r="AH471" s="148"/>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c r="BI471" s="148"/>
      <c r="BJ471" s="148"/>
      <c r="BK471" s="148"/>
    </row>
    <row r="472" spans="1:63" hidden="1" x14ac:dyDescent="0.25">
      <c r="A472" s="19"/>
      <c r="E472" s="138">
        <f t="shared" si="52"/>
        <v>47939</v>
      </c>
      <c r="F472" s="63">
        <f t="shared" si="51"/>
        <v>2031</v>
      </c>
      <c r="G472" s="124">
        <f t="shared" si="53"/>
        <v>17</v>
      </c>
      <c r="H472" s="19"/>
      <c r="I472" s="407">
        <f t="shared" si="55"/>
        <v>201</v>
      </c>
      <c r="J472" s="177"/>
      <c r="K472" s="177"/>
      <c r="L472" s="177"/>
      <c r="M472" s="288">
        <f>IF(G472&gt;$G$264,"",(SUM(O$269)-SUM(O$271:O471))*(M$269/12))</f>
        <v>399.52200145604672</v>
      </c>
      <c r="N472" s="288"/>
      <c r="O472" s="408">
        <f t="shared" si="54"/>
        <v>487.17729073924454</v>
      </c>
      <c r="P472" s="148"/>
      <c r="Q472" s="177"/>
      <c r="R472" s="177"/>
      <c r="S472" s="177"/>
      <c r="T472" s="148"/>
      <c r="U472" s="148"/>
      <c r="V472" s="148"/>
      <c r="W472" s="148"/>
      <c r="X472" s="148"/>
      <c r="Y472" s="148"/>
      <c r="Z472" s="148"/>
      <c r="AA472" s="148"/>
      <c r="AB472" s="148"/>
      <c r="AC472" s="148"/>
      <c r="AD472" s="148"/>
      <c r="AE472" s="148"/>
      <c r="AF472" s="148"/>
      <c r="AG472" s="148"/>
      <c r="AH472" s="148"/>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c r="BI472" s="148"/>
      <c r="BJ472" s="148"/>
      <c r="BK472" s="148"/>
    </row>
    <row r="473" spans="1:63" hidden="1" x14ac:dyDescent="0.25">
      <c r="A473" s="19"/>
      <c r="E473" s="138">
        <f t="shared" si="52"/>
        <v>47969</v>
      </c>
      <c r="F473" s="63">
        <f t="shared" si="51"/>
        <v>2031</v>
      </c>
      <c r="G473" s="124">
        <f t="shared" si="53"/>
        <v>17</v>
      </c>
      <c r="H473" s="19"/>
      <c r="I473" s="407">
        <f t="shared" si="55"/>
        <v>202</v>
      </c>
      <c r="J473" s="177"/>
      <c r="K473" s="177"/>
      <c r="L473" s="177"/>
      <c r="M473" s="288">
        <f>IF(G473&gt;$G$264,"",(SUM(O$269)-SUM(O$271:O472))*(M$269/12))</f>
        <v>397.69508661577458</v>
      </c>
      <c r="N473" s="288"/>
      <c r="O473" s="408">
        <f t="shared" si="54"/>
        <v>489.00420557951668</v>
      </c>
      <c r="P473" s="148"/>
      <c r="Q473" s="177"/>
      <c r="R473" s="177"/>
      <c r="S473" s="177"/>
      <c r="T473" s="148"/>
      <c r="U473" s="148"/>
      <c r="V473" s="148"/>
      <c r="W473" s="148"/>
      <c r="X473" s="148"/>
      <c r="Y473" s="148"/>
      <c r="Z473" s="148"/>
      <c r="AA473" s="148"/>
      <c r="AB473" s="148"/>
      <c r="AC473" s="148"/>
      <c r="AD473" s="148"/>
      <c r="AE473" s="148"/>
      <c r="AF473" s="148"/>
      <c r="AG473" s="148"/>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c r="BI473" s="148"/>
      <c r="BJ473" s="148"/>
      <c r="BK473" s="148"/>
    </row>
    <row r="474" spans="1:63" hidden="1" x14ac:dyDescent="0.25">
      <c r="A474" s="19"/>
      <c r="E474" s="138">
        <f t="shared" si="52"/>
        <v>48000</v>
      </c>
      <c r="F474" s="63">
        <f t="shared" si="51"/>
        <v>2031</v>
      </c>
      <c r="G474" s="124">
        <f t="shared" si="53"/>
        <v>17</v>
      </c>
      <c r="H474" s="19"/>
      <c r="I474" s="407">
        <f t="shared" si="55"/>
        <v>203</v>
      </c>
      <c r="J474" s="177"/>
      <c r="K474" s="177"/>
      <c r="L474" s="177"/>
      <c r="M474" s="288">
        <f>IF(G474&gt;$G$264,"",(SUM(O$269)-SUM(O$271:O473))*(M$269/12))</f>
        <v>395.86132084485138</v>
      </c>
      <c r="N474" s="288"/>
      <c r="O474" s="408">
        <f t="shared" si="54"/>
        <v>490.83797135043989</v>
      </c>
      <c r="P474" s="148"/>
      <c r="Q474" s="177"/>
      <c r="R474" s="177"/>
      <c r="S474" s="177"/>
      <c r="T474" s="148"/>
      <c r="U474" s="148"/>
      <c r="V474" s="148"/>
      <c r="W474" s="148"/>
      <c r="X474" s="148"/>
      <c r="Y474" s="148"/>
      <c r="Z474" s="148"/>
      <c r="AA474" s="148"/>
      <c r="AB474" s="148"/>
      <c r="AC474" s="148"/>
      <c r="AD474" s="148"/>
      <c r="AE474" s="148"/>
      <c r="AF474" s="148"/>
      <c r="AG474" s="148"/>
      <c r="AH474" s="148"/>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c r="BI474" s="148"/>
      <c r="BJ474" s="148"/>
      <c r="BK474" s="148"/>
    </row>
    <row r="475" spans="1:63" hidden="1" x14ac:dyDescent="0.25">
      <c r="A475" s="19"/>
      <c r="E475" s="138">
        <f t="shared" si="52"/>
        <v>48030</v>
      </c>
      <c r="F475" s="63">
        <f t="shared" si="51"/>
        <v>2031</v>
      </c>
      <c r="G475" s="124">
        <f t="shared" si="53"/>
        <v>17</v>
      </c>
      <c r="H475" s="19"/>
      <c r="I475" s="407">
        <f t="shared" si="55"/>
        <v>204</v>
      </c>
      <c r="J475" s="177"/>
      <c r="K475" s="177"/>
      <c r="L475" s="177"/>
      <c r="M475" s="288">
        <f>IF(G475&gt;$G$264,"",(SUM(O$269)-SUM(O$271:O474))*(M$269/12))</f>
        <v>394.0206784522872</v>
      </c>
      <c r="N475" s="288"/>
      <c r="O475" s="408">
        <f t="shared" si="54"/>
        <v>492.67861374300406</v>
      </c>
      <c r="P475" s="148"/>
      <c r="Q475" s="177"/>
      <c r="R475" s="177"/>
      <c r="S475" s="177"/>
      <c r="T475" s="148"/>
      <c r="U475" s="148"/>
      <c r="V475" s="148"/>
      <c r="W475" s="148"/>
      <c r="X475" s="148"/>
      <c r="Y475" s="148"/>
      <c r="Z475" s="148"/>
      <c r="AA475" s="148"/>
      <c r="AB475" s="148"/>
      <c r="AC475" s="148"/>
      <c r="AD475" s="148"/>
      <c r="AE475" s="148"/>
      <c r="AF475" s="148"/>
      <c r="AG475" s="148"/>
      <c r="AH475" s="148"/>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c r="BI475" s="148"/>
      <c r="BJ475" s="148"/>
      <c r="BK475" s="148"/>
    </row>
    <row r="476" spans="1:63" hidden="1" x14ac:dyDescent="0.25">
      <c r="A476" s="19"/>
      <c r="E476" s="138">
        <f t="shared" si="52"/>
        <v>48061</v>
      </c>
      <c r="F476" s="63">
        <f t="shared" si="51"/>
        <v>2031</v>
      </c>
      <c r="G476" s="124">
        <f t="shared" si="53"/>
        <v>18</v>
      </c>
      <c r="H476" s="19"/>
      <c r="I476" s="407">
        <f t="shared" si="55"/>
        <v>205</v>
      </c>
      <c r="J476" s="177"/>
      <c r="K476" s="177"/>
      <c r="L476" s="177"/>
      <c r="M476" s="288">
        <f>IF(G476&gt;$G$264,"",(SUM(O$269)-SUM(O$271:O475))*(M$269/12))</f>
        <v>392.17313365075097</v>
      </c>
      <c r="N476" s="288"/>
      <c r="O476" s="408">
        <f t="shared" si="54"/>
        <v>494.52615854454029</v>
      </c>
      <c r="P476" s="148"/>
      <c r="Q476" s="177"/>
      <c r="R476" s="177"/>
      <c r="S476" s="177"/>
      <c r="T476" s="148"/>
      <c r="U476" s="148"/>
      <c r="V476" s="148"/>
      <c r="W476" s="148"/>
      <c r="X476" s="148"/>
      <c r="Y476" s="148"/>
      <c r="Z476" s="148"/>
      <c r="AA476" s="148"/>
      <c r="AB476" s="148"/>
      <c r="AC476" s="148"/>
      <c r="AD476" s="148"/>
      <c r="AE476" s="148"/>
      <c r="AF476" s="148"/>
      <c r="AG476" s="148"/>
      <c r="AH476" s="148"/>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c r="BI476" s="148"/>
      <c r="BJ476" s="148"/>
      <c r="BK476" s="148"/>
    </row>
    <row r="477" spans="1:63" hidden="1" x14ac:dyDescent="0.25">
      <c r="A477" s="19"/>
      <c r="E477" s="138">
        <f t="shared" si="52"/>
        <v>48092</v>
      </c>
      <c r="F477" s="63">
        <f t="shared" si="51"/>
        <v>2031</v>
      </c>
      <c r="G477" s="124">
        <f t="shared" si="53"/>
        <v>18</v>
      </c>
      <c r="H477" s="19"/>
      <c r="I477" s="407">
        <f t="shared" si="55"/>
        <v>206</v>
      </c>
      <c r="J477" s="177"/>
      <c r="K477" s="177"/>
      <c r="L477" s="177"/>
      <c r="M477" s="288">
        <f>IF(G477&gt;$G$264,"",(SUM(O$269)-SUM(O$271:O476))*(M$269/12))</f>
        <v>390.31866055620895</v>
      </c>
      <c r="N477" s="288"/>
      <c r="O477" s="408">
        <f t="shared" si="54"/>
        <v>496.38063163908231</v>
      </c>
      <c r="P477" s="148"/>
      <c r="Q477" s="177"/>
      <c r="R477" s="177"/>
      <c r="S477" s="177"/>
      <c r="T477" s="148"/>
      <c r="U477" s="148"/>
      <c r="V477" s="148"/>
      <c r="W477" s="148"/>
      <c r="X477" s="148"/>
      <c r="Y477" s="148"/>
      <c r="Z477" s="148"/>
      <c r="AA477" s="148"/>
      <c r="AB477" s="148"/>
      <c r="AC477" s="148"/>
      <c r="AD477" s="148"/>
      <c r="AE477" s="148"/>
      <c r="AF477" s="148"/>
      <c r="AG477" s="148"/>
      <c r="AH477" s="148"/>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c r="BI477" s="148"/>
      <c r="BJ477" s="148"/>
      <c r="BK477" s="148"/>
    </row>
    <row r="478" spans="1:63" hidden="1" x14ac:dyDescent="0.25">
      <c r="A478" s="19"/>
      <c r="E478" s="138">
        <f t="shared" si="52"/>
        <v>48122</v>
      </c>
      <c r="F478" s="63">
        <f t="shared" si="51"/>
        <v>2031</v>
      </c>
      <c r="G478" s="124">
        <f t="shared" si="53"/>
        <v>18</v>
      </c>
      <c r="H478" s="19"/>
      <c r="I478" s="407">
        <f t="shared" si="55"/>
        <v>207</v>
      </c>
      <c r="J478" s="177"/>
      <c r="K478" s="177"/>
      <c r="L478" s="177"/>
      <c r="M478" s="288">
        <f>IF(G478&gt;$G$264,"",(SUM(O$269)-SUM(O$271:O477))*(M$269/12))</f>
        <v>388.45723318756234</v>
      </c>
      <c r="N478" s="288"/>
      <c r="O478" s="408">
        <f t="shared" si="54"/>
        <v>498.24205900772893</v>
      </c>
      <c r="P478" s="148"/>
      <c r="Q478" s="177"/>
      <c r="R478" s="177"/>
      <c r="S478" s="177"/>
      <c r="T478" s="148"/>
      <c r="U478" s="148"/>
      <c r="V478" s="148"/>
      <c r="W478" s="148"/>
      <c r="X478" s="148"/>
      <c r="Y478" s="148"/>
      <c r="Z478" s="148"/>
      <c r="AA478" s="148"/>
      <c r="AB478" s="148"/>
      <c r="AC478" s="148"/>
      <c r="AD478" s="148"/>
      <c r="AE478" s="148"/>
      <c r="AF478" s="148"/>
      <c r="AG478" s="148"/>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c r="BI478" s="148"/>
      <c r="BJ478" s="148"/>
      <c r="BK478" s="148"/>
    </row>
    <row r="479" spans="1:63" hidden="1" x14ac:dyDescent="0.25">
      <c r="A479" s="19"/>
      <c r="E479" s="138">
        <f t="shared" si="52"/>
        <v>48153</v>
      </c>
      <c r="F479" s="63">
        <f t="shared" si="51"/>
        <v>2031</v>
      </c>
      <c r="G479" s="124">
        <f t="shared" si="53"/>
        <v>18</v>
      </c>
      <c r="H479" s="19"/>
      <c r="I479" s="407">
        <f t="shared" si="55"/>
        <v>208</v>
      </c>
      <c r="J479" s="177"/>
      <c r="K479" s="177"/>
      <c r="L479" s="177"/>
      <c r="M479" s="288">
        <f>IF(G479&gt;$G$264,"",(SUM(O$269)-SUM(O$271:O478))*(M$269/12))</f>
        <v>386.58882546628342</v>
      </c>
      <c r="N479" s="288"/>
      <c r="O479" s="408">
        <f t="shared" si="54"/>
        <v>500.11046672900784</v>
      </c>
      <c r="P479" s="148"/>
      <c r="Q479" s="177"/>
      <c r="R479" s="177"/>
      <c r="S479" s="177"/>
      <c r="T479" s="148"/>
      <c r="U479" s="148"/>
      <c r="V479" s="148"/>
      <c r="W479" s="148"/>
      <c r="X479" s="148"/>
      <c r="Y479" s="148"/>
      <c r="Z479" s="148"/>
      <c r="AA479" s="148"/>
      <c r="AB479" s="148"/>
      <c r="AC479" s="148"/>
      <c r="AD479" s="148"/>
      <c r="AE479" s="148"/>
      <c r="AF479" s="148"/>
      <c r="AG479" s="148"/>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c r="BI479" s="148"/>
      <c r="BJ479" s="148"/>
      <c r="BK479" s="148"/>
    </row>
    <row r="480" spans="1:63" hidden="1" x14ac:dyDescent="0.25">
      <c r="A480" s="19"/>
      <c r="E480" s="138">
        <f t="shared" si="52"/>
        <v>48183</v>
      </c>
      <c r="F480" s="63">
        <f t="shared" si="51"/>
        <v>2031</v>
      </c>
      <c r="G480" s="124">
        <f t="shared" si="53"/>
        <v>18</v>
      </c>
      <c r="H480" s="19"/>
      <c r="I480" s="407">
        <f t="shared" si="55"/>
        <v>209</v>
      </c>
      <c r="J480" s="177"/>
      <c r="K480" s="177"/>
      <c r="L480" s="177"/>
      <c r="M480" s="288">
        <f>IF(G480&gt;$G$264,"",(SUM(O$269)-SUM(O$271:O479))*(M$269/12))</f>
        <v>384.71341121604962</v>
      </c>
      <c r="N480" s="288"/>
      <c r="O480" s="408">
        <f t="shared" si="54"/>
        <v>501.98588097924164</v>
      </c>
      <c r="P480" s="148"/>
      <c r="Q480" s="177"/>
      <c r="R480" s="177"/>
      <c r="S480" s="177"/>
      <c r="T480" s="148"/>
      <c r="U480" s="148"/>
      <c r="V480" s="148"/>
      <c r="W480" s="148"/>
      <c r="X480" s="148"/>
      <c r="Y480" s="148"/>
      <c r="Z480" s="148"/>
      <c r="AA480" s="148"/>
      <c r="AB480" s="148"/>
      <c r="AC480" s="148"/>
      <c r="AD480" s="148"/>
      <c r="AE480" s="148"/>
      <c r="AF480" s="148"/>
      <c r="AG480" s="148"/>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c r="BI480" s="148"/>
      <c r="BJ480" s="148"/>
      <c r="BK480" s="148"/>
    </row>
    <row r="481" spans="1:63" hidden="1" x14ac:dyDescent="0.25">
      <c r="A481" s="19"/>
      <c r="E481" s="138">
        <f t="shared" si="52"/>
        <v>48214</v>
      </c>
      <c r="F481" s="63">
        <f t="shared" si="51"/>
        <v>2032</v>
      </c>
      <c r="G481" s="124">
        <f t="shared" si="53"/>
        <v>18</v>
      </c>
      <c r="H481" s="19"/>
      <c r="I481" s="407">
        <f t="shared" si="55"/>
        <v>210</v>
      </c>
      <c r="J481" s="177"/>
      <c r="K481" s="177"/>
      <c r="L481" s="177"/>
      <c r="M481" s="288">
        <f>IF(G481&gt;$G$264,"",(SUM(O$269)-SUM(O$271:O480))*(M$269/12))</f>
        <v>382.83096416237748</v>
      </c>
      <c r="N481" s="288"/>
      <c r="O481" s="408">
        <f t="shared" si="54"/>
        <v>503.86832803291378</v>
      </c>
      <c r="P481" s="148"/>
      <c r="Q481" s="177"/>
      <c r="R481" s="177"/>
      <c r="S481" s="177"/>
      <c r="T481" s="148"/>
      <c r="U481" s="148"/>
      <c r="V481" s="148"/>
      <c r="W481" s="148"/>
      <c r="X481" s="148"/>
      <c r="Y481" s="148"/>
      <c r="Z481" s="148"/>
      <c r="AA481" s="148"/>
      <c r="AB481" s="148"/>
      <c r="AC481" s="148"/>
      <c r="AD481" s="148"/>
      <c r="AE481" s="148"/>
      <c r="AF481" s="148"/>
      <c r="AG481" s="148"/>
      <c r="AH481" s="148"/>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c r="BI481" s="148"/>
      <c r="BJ481" s="148"/>
      <c r="BK481" s="148"/>
    </row>
    <row r="482" spans="1:63" hidden="1" x14ac:dyDescent="0.25">
      <c r="A482" s="19"/>
      <c r="E482" s="138">
        <f t="shared" si="52"/>
        <v>48245</v>
      </c>
      <c r="F482" s="63">
        <f t="shared" si="51"/>
        <v>2032</v>
      </c>
      <c r="G482" s="124">
        <f t="shared" si="53"/>
        <v>18</v>
      </c>
      <c r="H482" s="19"/>
      <c r="I482" s="407">
        <f t="shared" si="55"/>
        <v>211</v>
      </c>
      <c r="J482" s="177"/>
      <c r="K482" s="177"/>
      <c r="L482" s="177"/>
      <c r="M482" s="288">
        <f>IF(G482&gt;$G$264,"",(SUM(O$269)-SUM(O$271:O481))*(M$269/12))</f>
        <v>380.94145793225408</v>
      </c>
      <c r="N482" s="288"/>
      <c r="O482" s="408">
        <f t="shared" si="54"/>
        <v>505.75783426303718</v>
      </c>
      <c r="P482" s="148"/>
      <c r="Q482" s="177"/>
      <c r="R482" s="177"/>
      <c r="S482" s="177"/>
      <c r="T482" s="148"/>
      <c r="U482" s="148"/>
      <c r="V482" s="148"/>
      <c r="W482" s="148"/>
      <c r="X482" s="148"/>
      <c r="Y482" s="148"/>
      <c r="Z482" s="148"/>
      <c r="AA482" s="148"/>
      <c r="AB482" s="148"/>
      <c r="AC482" s="148"/>
      <c r="AD482" s="148"/>
      <c r="AE482" s="148"/>
      <c r="AF482" s="148"/>
      <c r="AG482" s="148"/>
      <c r="AH482" s="148"/>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c r="BI482" s="148"/>
      <c r="BJ482" s="148"/>
      <c r="BK482" s="148"/>
    </row>
    <row r="483" spans="1:63" hidden="1" x14ac:dyDescent="0.25">
      <c r="A483" s="19"/>
      <c r="E483" s="138">
        <f t="shared" si="52"/>
        <v>48274</v>
      </c>
      <c r="F483" s="63">
        <f t="shared" si="51"/>
        <v>2032</v>
      </c>
      <c r="G483" s="124">
        <f t="shared" si="53"/>
        <v>18</v>
      </c>
      <c r="H483" s="19"/>
      <c r="I483" s="407">
        <f t="shared" si="55"/>
        <v>212</v>
      </c>
      <c r="J483" s="177"/>
      <c r="K483" s="177"/>
      <c r="L483" s="177"/>
      <c r="M483" s="288">
        <f>IF(G483&gt;$G$264,"",(SUM(O$269)-SUM(O$271:O482))*(M$269/12))</f>
        <v>379.04486605376763</v>
      </c>
      <c r="N483" s="288"/>
      <c r="O483" s="408">
        <f t="shared" si="54"/>
        <v>507.65442614152363</v>
      </c>
      <c r="P483" s="148"/>
      <c r="Q483" s="177"/>
      <c r="R483" s="177"/>
      <c r="S483" s="177"/>
      <c r="T483" s="148"/>
      <c r="U483" s="148"/>
      <c r="V483" s="148"/>
      <c r="W483" s="148"/>
      <c r="X483" s="148"/>
      <c r="Y483" s="148"/>
      <c r="Z483" s="148"/>
      <c r="AA483" s="148"/>
      <c r="AB483" s="148"/>
      <c r="AC483" s="148"/>
      <c r="AD483" s="148"/>
      <c r="AE483" s="148"/>
      <c r="AF483" s="148"/>
      <c r="AG483" s="148"/>
      <c r="AH483" s="148"/>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c r="BI483" s="148"/>
      <c r="BJ483" s="148"/>
      <c r="BK483" s="148"/>
    </row>
    <row r="484" spans="1:63" hidden="1" x14ac:dyDescent="0.25">
      <c r="A484" s="19"/>
      <c r="E484" s="138">
        <f t="shared" si="52"/>
        <v>48305</v>
      </c>
      <c r="F484" s="63">
        <f t="shared" si="51"/>
        <v>2032</v>
      </c>
      <c r="G484" s="124">
        <f t="shared" si="53"/>
        <v>18</v>
      </c>
      <c r="H484" s="19"/>
      <c r="I484" s="407">
        <f t="shared" si="55"/>
        <v>213</v>
      </c>
      <c r="J484" s="177"/>
      <c r="K484" s="177"/>
      <c r="L484" s="177"/>
      <c r="M484" s="288">
        <f>IF(G484&gt;$G$264,"",(SUM(O$269)-SUM(O$271:O483))*(M$269/12))</f>
        <v>377.14116195573695</v>
      </c>
      <c r="N484" s="288"/>
      <c r="O484" s="408">
        <f t="shared" si="54"/>
        <v>509.55813023955432</v>
      </c>
      <c r="P484" s="148"/>
      <c r="Q484" s="177"/>
      <c r="R484" s="177"/>
      <c r="S484" s="177"/>
      <c r="T484" s="148"/>
      <c r="U484" s="148"/>
      <c r="V484" s="148"/>
      <c r="W484" s="148"/>
      <c r="X484" s="148"/>
      <c r="Y484" s="148"/>
      <c r="Z484" s="148"/>
      <c r="AA484" s="148"/>
      <c r="AB484" s="148"/>
      <c r="AC484" s="148"/>
      <c r="AD484" s="148"/>
      <c r="AE484" s="148"/>
      <c r="AF484" s="148"/>
      <c r="AG484" s="148"/>
      <c r="AH484" s="148"/>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c r="BI484" s="148"/>
      <c r="BJ484" s="148"/>
      <c r="BK484" s="148"/>
    </row>
    <row r="485" spans="1:63" hidden="1" x14ac:dyDescent="0.25">
      <c r="A485" s="19"/>
      <c r="E485" s="138">
        <f t="shared" si="52"/>
        <v>48335</v>
      </c>
      <c r="F485" s="63">
        <f t="shared" si="51"/>
        <v>2032</v>
      </c>
      <c r="G485" s="124">
        <f t="shared" si="53"/>
        <v>18</v>
      </c>
      <c r="H485" s="19"/>
      <c r="I485" s="407">
        <f t="shared" si="55"/>
        <v>214</v>
      </c>
      <c r="J485" s="177"/>
      <c r="K485" s="177"/>
      <c r="L485" s="177"/>
      <c r="M485" s="288">
        <f>IF(G485&gt;$G$264,"",(SUM(O$269)-SUM(O$271:O484))*(M$269/12))</f>
        <v>375.23031896733858</v>
      </c>
      <c r="N485" s="288"/>
      <c r="O485" s="408">
        <f t="shared" si="54"/>
        <v>511.46897322795269</v>
      </c>
      <c r="P485" s="148"/>
      <c r="Q485" s="177"/>
      <c r="R485" s="177"/>
      <c r="S485" s="177"/>
      <c r="T485" s="148"/>
      <c r="U485" s="148"/>
      <c r="V485" s="148"/>
      <c r="W485" s="148"/>
      <c r="X485" s="148"/>
      <c r="Y485" s="148"/>
      <c r="Z485" s="148"/>
      <c r="AA485" s="148"/>
      <c r="AB485" s="148"/>
      <c r="AC485" s="148"/>
      <c r="AD485" s="148"/>
      <c r="AE485" s="148"/>
      <c r="AF485" s="148"/>
      <c r="AG485" s="148"/>
      <c r="AH485" s="148"/>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c r="BI485" s="148"/>
      <c r="BJ485" s="148"/>
      <c r="BK485" s="148"/>
    </row>
    <row r="486" spans="1:63" hidden="1" x14ac:dyDescent="0.25">
      <c r="A486" s="19"/>
      <c r="E486" s="138">
        <f t="shared" si="52"/>
        <v>48366</v>
      </c>
      <c r="F486" s="63">
        <f t="shared" si="51"/>
        <v>2032</v>
      </c>
      <c r="G486" s="124">
        <f t="shared" si="53"/>
        <v>18</v>
      </c>
      <c r="H486" s="19"/>
      <c r="I486" s="407">
        <f t="shared" si="55"/>
        <v>215</v>
      </c>
      <c r="J486" s="177"/>
      <c r="K486" s="177"/>
      <c r="L486" s="177"/>
      <c r="M486" s="288">
        <f>IF(G486&gt;$G$264,"",(SUM(O$269)-SUM(O$271:O485))*(M$269/12))</f>
        <v>373.31231031773376</v>
      </c>
      <c r="N486" s="288"/>
      <c r="O486" s="408">
        <f t="shared" si="54"/>
        <v>513.38698187755745</v>
      </c>
      <c r="P486" s="148"/>
      <c r="Q486" s="177"/>
      <c r="R486" s="177"/>
      <c r="S486" s="177"/>
      <c r="T486" s="148"/>
      <c r="U486" s="148"/>
      <c r="V486" s="148"/>
      <c r="W486" s="148"/>
      <c r="X486" s="148"/>
      <c r="Y486" s="148"/>
      <c r="Z486" s="148"/>
      <c r="AA486" s="148"/>
      <c r="AB486" s="148"/>
      <c r="AC486" s="148"/>
      <c r="AD486" s="148"/>
      <c r="AE486" s="148"/>
      <c r="AF486" s="148"/>
      <c r="AG486" s="148"/>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c r="BI486" s="148"/>
      <c r="BJ486" s="148"/>
      <c r="BK486" s="148"/>
    </row>
    <row r="487" spans="1:63" hidden="1" x14ac:dyDescent="0.25">
      <c r="A487" s="19"/>
      <c r="E487" s="138">
        <f t="shared" si="52"/>
        <v>48396</v>
      </c>
      <c r="F487" s="63">
        <f t="shared" si="51"/>
        <v>2032</v>
      </c>
      <c r="G487" s="124">
        <f t="shared" si="53"/>
        <v>18</v>
      </c>
      <c r="H487" s="19"/>
      <c r="I487" s="407">
        <f t="shared" si="55"/>
        <v>216</v>
      </c>
      <c r="J487" s="177"/>
      <c r="K487" s="177"/>
      <c r="L487" s="177"/>
      <c r="M487" s="288">
        <f>IF(G487&gt;$G$264,"",(SUM(O$269)-SUM(O$271:O486))*(M$269/12))</f>
        <v>371.38710913569292</v>
      </c>
      <c r="N487" s="288"/>
      <c r="O487" s="408">
        <f t="shared" si="54"/>
        <v>515.31218305959828</v>
      </c>
      <c r="P487" s="148"/>
      <c r="Q487" s="177"/>
      <c r="R487" s="177"/>
      <c r="S487" s="177"/>
      <c r="T487" s="148"/>
      <c r="U487" s="148"/>
      <c r="V487" s="148"/>
      <c r="W487" s="148"/>
      <c r="X487" s="148"/>
      <c r="Y487" s="148"/>
      <c r="Z487" s="148"/>
      <c r="AA487" s="148"/>
      <c r="AB487" s="148"/>
      <c r="AC487" s="148"/>
      <c r="AD487" s="148"/>
      <c r="AE487" s="148"/>
      <c r="AF487" s="148"/>
      <c r="AG487" s="148"/>
      <c r="AH487" s="148"/>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c r="BI487" s="148"/>
      <c r="BJ487" s="148"/>
      <c r="BK487" s="148"/>
    </row>
    <row r="488" spans="1:63" hidden="1" x14ac:dyDescent="0.25">
      <c r="A488" s="19"/>
      <c r="E488" s="138">
        <f t="shared" si="52"/>
        <v>48427</v>
      </c>
      <c r="F488" s="63">
        <f t="shared" si="51"/>
        <v>2032</v>
      </c>
      <c r="G488" s="124">
        <f t="shared" si="53"/>
        <v>19</v>
      </c>
      <c r="H488" s="19"/>
      <c r="I488" s="407">
        <f t="shared" si="55"/>
        <v>217</v>
      </c>
      <c r="J488" s="177"/>
      <c r="K488" s="177"/>
      <c r="L488" s="177"/>
      <c r="M488" s="288">
        <f>IF(G488&gt;$G$264,"",(SUM(O$269)-SUM(O$271:O487))*(M$269/12))</f>
        <v>369.45468844921947</v>
      </c>
      <c r="N488" s="288"/>
      <c r="O488" s="408">
        <f t="shared" si="54"/>
        <v>517.24460374607179</v>
      </c>
      <c r="P488" s="148"/>
      <c r="Q488" s="177"/>
      <c r="R488" s="177"/>
      <c r="S488" s="177"/>
      <c r="T488" s="148"/>
      <c r="U488" s="148"/>
      <c r="V488" s="148"/>
      <c r="W488" s="148"/>
      <c r="X488" s="148"/>
      <c r="Y488" s="148"/>
      <c r="Z488" s="148"/>
      <c r="AA488" s="148"/>
      <c r="AB488" s="148"/>
      <c r="AC488" s="148"/>
      <c r="AD488" s="148"/>
      <c r="AE488" s="148"/>
      <c r="AF488" s="148"/>
      <c r="AG488" s="148"/>
      <c r="AH488" s="148"/>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c r="BI488" s="148"/>
      <c r="BJ488" s="148"/>
      <c r="BK488" s="148"/>
    </row>
    <row r="489" spans="1:63" hidden="1" x14ac:dyDescent="0.25">
      <c r="A489" s="19"/>
      <c r="E489" s="138">
        <f t="shared" si="52"/>
        <v>48458</v>
      </c>
      <c r="F489" s="63">
        <f t="shared" si="51"/>
        <v>2032</v>
      </c>
      <c r="G489" s="124">
        <f t="shared" si="53"/>
        <v>19</v>
      </c>
      <c r="H489" s="19"/>
      <c r="I489" s="407">
        <f t="shared" si="55"/>
        <v>218</v>
      </c>
      <c r="J489" s="177"/>
      <c r="K489" s="177"/>
      <c r="L489" s="177"/>
      <c r="M489" s="288">
        <f>IF(G489&gt;$G$264,"",(SUM(O$269)-SUM(O$271:O488))*(M$269/12))</f>
        <v>367.51502118517169</v>
      </c>
      <c r="N489" s="288"/>
      <c r="O489" s="408">
        <f t="shared" si="54"/>
        <v>519.18427101011957</v>
      </c>
      <c r="P489" s="148"/>
      <c r="Q489" s="177"/>
      <c r="R489" s="177"/>
      <c r="S489" s="177"/>
      <c r="T489" s="148"/>
      <c r="U489" s="148"/>
      <c r="V489" s="148"/>
      <c r="W489" s="148"/>
      <c r="X489" s="148"/>
      <c r="Y489" s="148"/>
      <c r="Z489" s="148"/>
      <c r="AA489" s="148"/>
      <c r="AB489" s="148"/>
      <c r="AC489" s="148"/>
      <c r="AD489" s="148"/>
      <c r="AE489" s="148"/>
      <c r="AF489" s="148"/>
      <c r="AG489" s="148"/>
      <c r="AH489" s="148"/>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c r="BI489" s="148"/>
      <c r="BJ489" s="148"/>
      <c r="BK489" s="148"/>
    </row>
    <row r="490" spans="1:63" hidden="1" x14ac:dyDescent="0.25">
      <c r="A490" s="19"/>
      <c r="E490" s="138">
        <f t="shared" si="52"/>
        <v>48488</v>
      </c>
      <c r="F490" s="63">
        <f t="shared" si="51"/>
        <v>2032</v>
      </c>
      <c r="G490" s="124">
        <f t="shared" si="53"/>
        <v>19</v>
      </c>
      <c r="H490" s="19"/>
      <c r="I490" s="407">
        <f t="shared" si="55"/>
        <v>219</v>
      </c>
      <c r="J490" s="177"/>
      <c r="K490" s="177"/>
      <c r="L490" s="177"/>
      <c r="M490" s="288">
        <f>IF(G490&gt;$G$264,"",(SUM(O$269)-SUM(O$271:O489))*(M$269/12))</f>
        <v>365.56808016888374</v>
      </c>
      <c r="N490" s="288"/>
      <c r="O490" s="408">
        <f t="shared" si="54"/>
        <v>521.13121202640752</v>
      </c>
      <c r="P490" s="148"/>
      <c r="Q490" s="177"/>
      <c r="R490" s="177"/>
      <c r="S490" s="177"/>
      <c r="T490" s="148"/>
      <c r="U490" s="148"/>
      <c r="V490" s="148"/>
      <c r="W490" s="148"/>
      <c r="X490" s="148"/>
      <c r="Y490" s="148"/>
      <c r="Z490" s="148"/>
      <c r="AA490" s="148"/>
      <c r="AB490" s="148"/>
      <c r="AC490" s="148"/>
      <c r="AD490" s="148"/>
      <c r="AE490" s="148"/>
      <c r="AF490" s="148"/>
      <c r="AG490" s="148"/>
      <c r="AH490" s="148"/>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c r="BI490" s="148"/>
      <c r="BJ490" s="148"/>
      <c r="BK490" s="148"/>
    </row>
    <row r="491" spans="1:63" hidden="1" x14ac:dyDescent="0.25">
      <c r="A491" s="19"/>
      <c r="E491" s="138">
        <f t="shared" si="52"/>
        <v>48519</v>
      </c>
      <c r="F491" s="63">
        <f t="shared" si="51"/>
        <v>2032</v>
      </c>
      <c r="G491" s="124">
        <f t="shared" si="53"/>
        <v>19</v>
      </c>
      <c r="H491" s="19"/>
      <c r="I491" s="407">
        <f t="shared" si="55"/>
        <v>220</v>
      </c>
      <c r="J491" s="177"/>
      <c r="K491" s="177"/>
      <c r="L491" s="177"/>
      <c r="M491" s="288">
        <f>IF(G491&gt;$G$264,"",(SUM(O$269)-SUM(O$271:O490))*(M$269/12))</f>
        <v>363.61383812378472</v>
      </c>
      <c r="N491" s="288"/>
      <c r="O491" s="408">
        <f t="shared" si="54"/>
        <v>523.08545407150655</v>
      </c>
      <c r="P491" s="148"/>
      <c r="Q491" s="177"/>
      <c r="R491" s="177"/>
      <c r="S491" s="177"/>
      <c r="T491" s="148"/>
      <c r="U491" s="148"/>
      <c r="V491" s="148"/>
      <c r="W491" s="148"/>
      <c r="X491" s="148"/>
      <c r="Y491" s="148"/>
      <c r="Z491" s="148"/>
      <c r="AA491" s="148"/>
      <c r="AB491" s="148"/>
      <c r="AC491" s="148"/>
      <c r="AD491" s="148"/>
      <c r="AE491" s="148"/>
      <c r="AF491" s="148"/>
      <c r="AG491" s="148"/>
      <c r="AH491" s="148"/>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c r="BI491" s="148"/>
      <c r="BJ491" s="148"/>
      <c r="BK491" s="148"/>
    </row>
    <row r="492" spans="1:63" hidden="1" x14ac:dyDescent="0.25">
      <c r="A492" s="19"/>
      <c r="E492" s="138">
        <f t="shared" si="52"/>
        <v>48549</v>
      </c>
      <c r="F492" s="63">
        <f t="shared" si="51"/>
        <v>2032</v>
      </c>
      <c r="G492" s="124">
        <f t="shared" si="53"/>
        <v>19</v>
      </c>
      <c r="H492" s="19"/>
      <c r="I492" s="407">
        <f t="shared" si="55"/>
        <v>221</v>
      </c>
      <c r="J492" s="177"/>
      <c r="K492" s="177"/>
      <c r="L492" s="177"/>
      <c r="M492" s="288">
        <f>IF(G492&gt;$G$264,"",(SUM(O$269)-SUM(O$271:O491))*(M$269/12))</f>
        <v>361.65226767101655</v>
      </c>
      <c r="N492" s="288"/>
      <c r="O492" s="408">
        <f t="shared" si="54"/>
        <v>525.04702452427478</v>
      </c>
      <c r="P492" s="148"/>
      <c r="Q492" s="177"/>
      <c r="R492" s="177"/>
      <c r="S492" s="177"/>
      <c r="T492" s="148"/>
      <c r="U492" s="148"/>
      <c r="V492" s="148"/>
      <c r="W492" s="148"/>
      <c r="X492" s="148"/>
      <c r="Y492" s="148"/>
      <c r="Z492" s="148"/>
      <c r="AA492" s="148"/>
      <c r="AB492" s="148"/>
      <c r="AC492" s="148"/>
      <c r="AD492" s="148"/>
      <c r="AE492" s="148"/>
      <c r="AF492" s="148"/>
      <c r="AG492" s="148"/>
      <c r="AH492" s="148"/>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c r="BI492" s="148"/>
      <c r="BJ492" s="148"/>
      <c r="BK492" s="148"/>
    </row>
    <row r="493" spans="1:63" hidden="1" x14ac:dyDescent="0.25">
      <c r="A493" s="19"/>
      <c r="E493" s="138">
        <f t="shared" si="52"/>
        <v>48580</v>
      </c>
      <c r="F493" s="63">
        <f t="shared" si="51"/>
        <v>2033</v>
      </c>
      <c r="G493" s="124">
        <f t="shared" si="53"/>
        <v>19</v>
      </c>
      <c r="H493" s="19"/>
      <c r="I493" s="407">
        <f t="shared" si="55"/>
        <v>222</v>
      </c>
      <c r="J493" s="177"/>
      <c r="K493" s="177"/>
      <c r="L493" s="177"/>
      <c r="M493" s="288">
        <f>IF(G493&gt;$G$264,"",(SUM(O$269)-SUM(O$271:O492))*(M$269/12))</f>
        <v>359.68334132905051</v>
      </c>
      <c r="N493" s="288"/>
      <c r="O493" s="408">
        <f t="shared" si="54"/>
        <v>527.0159508662407</v>
      </c>
      <c r="P493" s="148"/>
      <c r="Q493" s="177"/>
      <c r="R493" s="177"/>
      <c r="S493" s="177"/>
      <c r="T493" s="148"/>
      <c r="U493" s="148"/>
      <c r="V493" s="148"/>
      <c r="W493" s="148"/>
      <c r="X493" s="148"/>
      <c r="Y493" s="148"/>
      <c r="Z493" s="148"/>
      <c r="AA493" s="148"/>
      <c r="AB493" s="148"/>
      <c r="AC493" s="148"/>
      <c r="AD493" s="148"/>
      <c r="AE493" s="148"/>
      <c r="AF493" s="148"/>
      <c r="AG493" s="148"/>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c r="BI493" s="148"/>
      <c r="BJ493" s="148"/>
      <c r="BK493" s="148"/>
    </row>
    <row r="494" spans="1:63" hidden="1" x14ac:dyDescent="0.25">
      <c r="A494" s="19"/>
      <c r="E494" s="138">
        <f t="shared" si="52"/>
        <v>48611</v>
      </c>
      <c r="F494" s="63">
        <f t="shared" si="51"/>
        <v>2033</v>
      </c>
      <c r="G494" s="124">
        <f t="shared" si="53"/>
        <v>19</v>
      </c>
      <c r="H494" s="19"/>
      <c r="I494" s="407">
        <f t="shared" si="55"/>
        <v>223</v>
      </c>
      <c r="J494" s="177"/>
      <c r="K494" s="177"/>
      <c r="L494" s="177"/>
      <c r="M494" s="288">
        <f>IF(G494&gt;$G$264,"",(SUM(O$269)-SUM(O$271:O493))*(M$269/12))</f>
        <v>357.70703151330213</v>
      </c>
      <c r="N494" s="288"/>
      <c r="O494" s="408">
        <f t="shared" si="54"/>
        <v>528.99226068198914</v>
      </c>
      <c r="P494" s="148"/>
      <c r="Q494" s="177"/>
      <c r="R494" s="177"/>
      <c r="S494" s="177"/>
      <c r="T494" s="148"/>
      <c r="U494" s="148"/>
      <c r="V494" s="148"/>
      <c r="W494" s="148"/>
      <c r="X494" s="148"/>
      <c r="Y494" s="148"/>
      <c r="Z494" s="148"/>
      <c r="AA494" s="148"/>
      <c r="AB494" s="148"/>
      <c r="AC494" s="148"/>
      <c r="AD494" s="148"/>
      <c r="AE494" s="148"/>
      <c r="AF494" s="148"/>
      <c r="AG494" s="148"/>
      <c r="AH494" s="148"/>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c r="BI494" s="148"/>
      <c r="BJ494" s="148"/>
      <c r="BK494" s="148"/>
    </row>
    <row r="495" spans="1:63" hidden="1" x14ac:dyDescent="0.25">
      <c r="A495" s="19"/>
      <c r="E495" s="138">
        <f t="shared" si="52"/>
        <v>48639</v>
      </c>
      <c r="F495" s="63">
        <f t="shared" si="51"/>
        <v>2033</v>
      </c>
      <c r="G495" s="124">
        <f t="shared" si="53"/>
        <v>19</v>
      </c>
      <c r="H495" s="19"/>
      <c r="I495" s="407">
        <f t="shared" si="55"/>
        <v>224</v>
      </c>
      <c r="J495" s="177"/>
      <c r="K495" s="177"/>
      <c r="L495" s="177"/>
      <c r="M495" s="288">
        <f>IF(G495&gt;$G$264,"",(SUM(O$269)-SUM(O$271:O494))*(M$269/12))</f>
        <v>355.72331053574464</v>
      </c>
      <c r="N495" s="288"/>
      <c r="O495" s="408">
        <f t="shared" si="54"/>
        <v>530.97598165954662</v>
      </c>
      <c r="P495" s="148"/>
      <c r="Q495" s="177"/>
      <c r="R495" s="177"/>
      <c r="S495" s="177"/>
      <c r="T495" s="148"/>
      <c r="U495" s="148"/>
      <c r="V495" s="148"/>
      <c r="W495" s="148"/>
      <c r="X495" s="148"/>
      <c r="Y495" s="148"/>
      <c r="Z495" s="148"/>
      <c r="AA495" s="148"/>
      <c r="AB495" s="148"/>
      <c r="AC495" s="148"/>
      <c r="AD495" s="148"/>
      <c r="AE495" s="148"/>
      <c r="AF495" s="148"/>
      <c r="AG495" s="148"/>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c r="BI495" s="148"/>
      <c r="BJ495" s="148"/>
      <c r="BK495" s="148"/>
    </row>
    <row r="496" spans="1:63" hidden="1" x14ac:dyDescent="0.25">
      <c r="A496" s="19"/>
      <c r="E496" s="138">
        <f t="shared" si="52"/>
        <v>48670</v>
      </c>
      <c r="F496" s="63">
        <f t="shared" si="51"/>
        <v>2033</v>
      </c>
      <c r="G496" s="124">
        <f t="shared" si="53"/>
        <v>19</v>
      </c>
      <c r="H496" s="19"/>
      <c r="I496" s="407">
        <f t="shared" si="55"/>
        <v>225</v>
      </c>
      <c r="J496" s="177"/>
      <c r="K496" s="177"/>
      <c r="L496" s="177"/>
      <c r="M496" s="288">
        <f>IF(G496&gt;$G$264,"",(SUM(O$269)-SUM(O$271:O495))*(M$269/12))</f>
        <v>353.73215060452134</v>
      </c>
      <c r="N496" s="288"/>
      <c r="O496" s="408">
        <f t="shared" si="54"/>
        <v>532.96714159076987</v>
      </c>
      <c r="P496" s="148"/>
      <c r="Q496" s="177"/>
      <c r="R496" s="177"/>
      <c r="S496" s="177"/>
      <c r="T496" s="148"/>
      <c r="U496" s="148"/>
      <c r="V496" s="148"/>
      <c r="W496" s="148"/>
      <c r="X496" s="148"/>
      <c r="Y496" s="148"/>
      <c r="Z496" s="148"/>
      <c r="AA496" s="148"/>
      <c r="AB496" s="148"/>
      <c r="AC496" s="148"/>
      <c r="AD496" s="148"/>
      <c r="AE496" s="148"/>
      <c r="AF496" s="148"/>
      <c r="AG496" s="148"/>
      <c r="AH496" s="148"/>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c r="BI496" s="148"/>
      <c r="BJ496" s="148"/>
      <c r="BK496" s="148"/>
    </row>
    <row r="497" spans="1:63" hidden="1" x14ac:dyDescent="0.25">
      <c r="A497" s="19"/>
      <c r="E497" s="138">
        <f t="shared" si="52"/>
        <v>48700</v>
      </c>
      <c r="F497" s="63">
        <f t="shared" si="51"/>
        <v>2033</v>
      </c>
      <c r="G497" s="124">
        <f t="shared" si="53"/>
        <v>19</v>
      </c>
      <c r="H497" s="19"/>
      <c r="I497" s="407">
        <f t="shared" si="55"/>
        <v>226</v>
      </c>
      <c r="J497" s="177"/>
      <c r="K497" s="177"/>
      <c r="L497" s="177"/>
      <c r="M497" s="288">
        <f>IF(G497&gt;$G$264,"",(SUM(O$269)-SUM(O$271:O496))*(M$269/12))</f>
        <v>351.73352382355597</v>
      </c>
      <c r="N497" s="288"/>
      <c r="O497" s="408">
        <f t="shared" si="54"/>
        <v>534.96576837173529</v>
      </c>
      <c r="P497" s="148"/>
      <c r="Q497" s="177"/>
      <c r="R497" s="177"/>
      <c r="S497" s="177"/>
      <c r="T497" s="148"/>
      <c r="U497" s="148"/>
      <c r="V497" s="148"/>
      <c r="W497" s="148"/>
      <c r="X497" s="148"/>
      <c r="Y497" s="148"/>
      <c r="Z497" s="148"/>
      <c r="AA497" s="148"/>
      <c r="AB497" s="148"/>
      <c r="AC497" s="148"/>
      <c r="AD497" s="148"/>
      <c r="AE497" s="148"/>
      <c r="AF497" s="148"/>
      <c r="AG497" s="148"/>
      <c r="AH497" s="148"/>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c r="BI497" s="148"/>
      <c r="BJ497" s="148"/>
      <c r="BK497" s="148"/>
    </row>
    <row r="498" spans="1:63" hidden="1" x14ac:dyDescent="0.25">
      <c r="A498" s="19"/>
      <c r="E498" s="138">
        <f t="shared" si="52"/>
        <v>48731</v>
      </c>
      <c r="F498" s="63">
        <f t="shared" si="51"/>
        <v>2033</v>
      </c>
      <c r="G498" s="124">
        <f t="shared" si="53"/>
        <v>19</v>
      </c>
      <c r="H498" s="19"/>
      <c r="I498" s="407">
        <f t="shared" si="55"/>
        <v>227</v>
      </c>
      <c r="J498" s="177"/>
      <c r="K498" s="177"/>
      <c r="L498" s="177"/>
      <c r="M498" s="288">
        <f>IF(G498&gt;$G$264,"",(SUM(O$269)-SUM(O$271:O497))*(M$269/12))</f>
        <v>349.72740219216195</v>
      </c>
      <c r="N498" s="288"/>
      <c r="O498" s="408">
        <f t="shared" si="54"/>
        <v>536.97189000312937</v>
      </c>
      <c r="P498" s="148"/>
      <c r="Q498" s="177"/>
      <c r="R498" s="177"/>
      <c r="S498" s="177"/>
      <c r="T498" s="148"/>
      <c r="U498" s="148"/>
      <c r="V498" s="148"/>
      <c r="W498" s="148"/>
      <c r="X498" s="148"/>
      <c r="Y498" s="148"/>
      <c r="Z498" s="148"/>
      <c r="AA498" s="148"/>
      <c r="AB498" s="148"/>
      <c r="AC498" s="148"/>
      <c r="AD498" s="148"/>
      <c r="AE498" s="148"/>
      <c r="AF498" s="148"/>
      <c r="AG498" s="148"/>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c r="BI498" s="148"/>
      <c r="BJ498" s="148"/>
      <c r="BK498" s="148"/>
    </row>
    <row r="499" spans="1:63" hidden="1" x14ac:dyDescent="0.25">
      <c r="A499" s="19"/>
      <c r="E499" s="138">
        <f t="shared" si="52"/>
        <v>48761</v>
      </c>
      <c r="F499" s="63">
        <f t="shared" si="51"/>
        <v>2033</v>
      </c>
      <c r="G499" s="124">
        <f t="shared" si="53"/>
        <v>19</v>
      </c>
      <c r="H499" s="19"/>
      <c r="I499" s="407">
        <f t="shared" si="55"/>
        <v>228</v>
      </c>
      <c r="J499" s="177"/>
      <c r="K499" s="177"/>
      <c r="L499" s="177"/>
      <c r="M499" s="288">
        <f>IF(G499&gt;$G$264,"",(SUM(O$269)-SUM(O$271:O498))*(M$269/12))</f>
        <v>347.7137576046502</v>
      </c>
      <c r="N499" s="288"/>
      <c r="O499" s="408">
        <f t="shared" si="54"/>
        <v>538.98553459064101</v>
      </c>
      <c r="P499" s="148"/>
      <c r="Q499" s="177"/>
      <c r="R499" s="177"/>
      <c r="S499" s="177"/>
      <c r="T499" s="148"/>
      <c r="U499" s="148"/>
      <c r="V499" s="148"/>
      <c r="W499" s="148"/>
      <c r="X499" s="148"/>
      <c r="Y499" s="148"/>
      <c r="Z499" s="148"/>
      <c r="AA499" s="148"/>
      <c r="AB499" s="148"/>
      <c r="AC499" s="148"/>
      <c r="AD499" s="148"/>
      <c r="AE499" s="148"/>
      <c r="AF499" s="148"/>
      <c r="AG499" s="148"/>
      <c r="AH499" s="148"/>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c r="BI499" s="148"/>
      <c r="BJ499" s="148"/>
      <c r="BK499" s="148"/>
    </row>
    <row r="500" spans="1:63" hidden="1" x14ac:dyDescent="0.25">
      <c r="A500" s="19"/>
      <c r="E500" s="138">
        <f t="shared" si="52"/>
        <v>48792</v>
      </c>
      <c r="F500" s="63">
        <f t="shared" si="51"/>
        <v>2033</v>
      </c>
      <c r="G500" s="124">
        <f t="shared" si="53"/>
        <v>20</v>
      </c>
      <c r="H500" s="19"/>
      <c r="I500" s="407">
        <f t="shared" si="55"/>
        <v>229</v>
      </c>
      <c r="J500" s="177"/>
      <c r="K500" s="177"/>
      <c r="L500" s="177"/>
      <c r="M500" s="288">
        <f>IF(G500&gt;$G$264,"",(SUM(O$269)-SUM(O$271:O499))*(M$269/12))</f>
        <v>345.69256184993532</v>
      </c>
      <c r="N500" s="288"/>
      <c r="O500" s="408">
        <f t="shared" si="54"/>
        <v>541.00673034535589</v>
      </c>
      <c r="P500" s="148"/>
      <c r="Q500" s="177"/>
      <c r="R500" s="177"/>
      <c r="S500" s="177"/>
      <c r="T500" s="148"/>
      <c r="U500" s="148"/>
      <c r="V500" s="148"/>
      <c r="W500" s="148"/>
      <c r="X500" s="148"/>
      <c r="Y500" s="148"/>
      <c r="Z500" s="148"/>
      <c r="AA500" s="148"/>
      <c r="AB500" s="148"/>
      <c r="AC500" s="148"/>
      <c r="AD500" s="148"/>
      <c r="AE500" s="148"/>
      <c r="AF500" s="148"/>
      <c r="AG500" s="148"/>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c r="BI500" s="148"/>
      <c r="BJ500" s="148"/>
      <c r="BK500" s="148"/>
    </row>
    <row r="501" spans="1:63" hidden="1" x14ac:dyDescent="0.25">
      <c r="A501" s="19"/>
      <c r="E501" s="138">
        <f t="shared" si="52"/>
        <v>48823</v>
      </c>
      <c r="F501" s="63">
        <f t="shared" si="51"/>
        <v>2033</v>
      </c>
      <c r="G501" s="124">
        <f t="shared" si="53"/>
        <v>20</v>
      </c>
      <c r="H501" s="19"/>
      <c r="I501" s="407">
        <f t="shared" si="55"/>
        <v>230</v>
      </c>
      <c r="J501" s="177"/>
      <c r="K501" s="177"/>
      <c r="L501" s="177"/>
      <c r="M501" s="288">
        <f>IF(G501&gt;$G$264,"",(SUM(O$269)-SUM(O$271:O500))*(M$269/12))</f>
        <v>343.66378661114027</v>
      </c>
      <c r="N501" s="288"/>
      <c r="O501" s="408">
        <f t="shared" si="54"/>
        <v>543.035505584151</v>
      </c>
      <c r="P501" s="148"/>
      <c r="Q501" s="177"/>
      <c r="R501" s="177"/>
      <c r="S501" s="177"/>
      <c r="T501" s="148"/>
      <c r="U501" s="148"/>
      <c r="V501" s="148"/>
      <c r="W501" s="148"/>
      <c r="X501" s="148"/>
      <c r="Y501" s="148"/>
      <c r="Z501" s="148"/>
      <c r="AA501" s="148"/>
      <c r="AB501" s="148"/>
      <c r="AC501" s="148"/>
      <c r="AD501" s="148"/>
      <c r="AE501" s="148"/>
      <c r="AF501" s="148"/>
      <c r="AG501" s="148"/>
      <c r="AH501" s="148"/>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c r="BI501" s="148"/>
      <c r="BJ501" s="148"/>
      <c r="BK501" s="148"/>
    </row>
    <row r="502" spans="1:63" hidden="1" x14ac:dyDescent="0.25">
      <c r="A502" s="19"/>
      <c r="E502" s="138">
        <f t="shared" si="52"/>
        <v>48853</v>
      </c>
      <c r="F502" s="63">
        <f t="shared" si="51"/>
        <v>2033</v>
      </c>
      <c r="G502" s="124">
        <f t="shared" si="53"/>
        <v>20</v>
      </c>
      <c r="H502" s="19"/>
      <c r="I502" s="407">
        <f t="shared" si="55"/>
        <v>231</v>
      </c>
      <c r="J502" s="177"/>
      <c r="K502" s="177"/>
      <c r="L502" s="177"/>
      <c r="M502" s="288">
        <f>IF(G502&gt;$G$264,"",(SUM(O$269)-SUM(O$271:O501))*(M$269/12))</f>
        <v>341.62740346519968</v>
      </c>
      <c r="N502" s="288"/>
      <c r="O502" s="408">
        <f t="shared" si="54"/>
        <v>545.07188873009159</v>
      </c>
      <c r="P502" s="148"/>
      <c r="Q502" s="177"/>
      <c r="R502" s="177"/>
      <c r="S502" s="177"/>
      <c r="T502" s="148"/>
      <c r="U502" s="148"/>
      <c r="V502" s="148"/>
      <c r="W502" s="148"/>
      <c r="X502" s="148"/>
      <c r="Y502" s="148"/>
      <c r="Z502" s="148"/>
      <c r="AA502" s="148"/>
      <c r="AB502" s="148"/>
      <c r="AC502" s="148"/>
      <c r="AD502" s="148"/>
      <c r="AE502" s="148"/>
      <c r="AF502" s="148"/>
      <c r="AG502" s="148"/>
      <c r="AH502" s="148"/>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c r="BI502" s="148"/>
      <c r="BJ502" s="148"/>
      <c r="BK502" s="148"/>
    </row>
    <row r="503" spans="1:63" hidden="1" x14ac:dyDescent="0.25">
      <c r="A503" s="19"/>
      <c r="E503" s="138">
        <f t="shared" si="52"/>
        <v>48884</v>
      </c>
      <c r="F503" s="63">
        <f t="shared" si="51"/>
        <v>2033</v>
      </c>
      <c r="G503" s="124">
        <f t="shared" si="53"/>
        <v>20</v>
      </c>
      <c r="H503" s="19"/>
      <c r="I503" s="407">
        <f t="shared" si="55"/>
        <v>232</v>
      </c>
      <c r="J503" s="177"/>
      <c r="K503" s="177"/>
      <c r="L503" s="177"/>
      <c r="M503" s="288">
        <f>IF(G503&gt;$G$264,"",(SUM(O$269)-SUM(O$271:O502))*(M$269/12))</f>
        <v>339.58338388246182</v>
      </c>
      <c r="N503" s="288"/>
      <c r="O503" s="408">
        <f t="shared" si="54"/>
        <v>547.11590831282945</v>
      </c>
      <c r="P503" s="148"/>
      <c r="Q503" s="177"/>
      <c r="R503" s="177"/>
      <c r="S503" s="177"/>
      <c r="T503" s="148"/>
      <c r="U503" s="148"/>
      <c r="V503" s="148"/>
      <c r="W503" s="148"/>
      <c r="X503" s="148"/>
      <c r="Y503" s="148"/>
      <c r="Z503" s="148"/>
      <c r="AA503" s="148"/>
      <c r="AB503" s="148"/>
      <c r="AC503" s="148"/>
      <c r="AD503" s="148"/>
      <c r="AE503" s="148"/>
      <c r="AF503" s="148"/>
      <c r="AG503" s="148"/>
      <c r="AH503" s="148"/>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c r="BI503" s="148"/>
      <c r="BJ503" s="148"/>
      <c r="BK503" s="148"/>
    </row>
    <row r="504" spans="1:63" hidden="1" x14ac:dyDescent="0.25">
      <c r="A504" s="19"/>
      <c r="E504" s="138">
        <f t="shared" si="52"/>
        <v>48914</v>
      </c>
      <c r="F504" s="63">
        <f t="shared" si="51"/>
        <v>2033</v>
      </c>
      <c r="G504" s="124">
        <f t="shared" si="53"/>
        <v>20</v>
      </c>
      <c r="H504" s="19"/>
      <c r="I504" s="407">
        <f t="shared" si="55"/>
        <v>233</v>
      </c>
      <c r="J504" s="177"/>
      <c r="K504" s="177"/>
      <c r="L504" s="177"/>
      <c r="M504" s="288">
        <f>IF(G504&gt;$G$264,"",(SUM(O$269)-SUM(O$271:O503))*(M$269/12))</f>
        <v>337.53169922628871</v>
      </c>
      <c r="N504" s="288"/>
      <c r="O504" s="408">
        <f t="shared" si="54"/>
        <v>549.1675929690025</v>
      </c>
      <c r="P504" s="148"/>
      <c r="Q504" s="177"/>
      <c r="R504" s="177"/>
      <c r="S504" s="177"/>
      <c r="T504" s="148"/>
      <c r="U504" s="148"/>
      <c r="V504" s="148"/>
      <c r="W504" s="148"/>
      <c r="X504" s="148"/>
      <c r="Y504" s="148"/>
      <c r="Z504" s="148"/>
      <c r="AA504" s="148"/>
      <c r="AB504" s="148"/>
      <c r="AC504" s="148"/>
      <c r="AD504" s="148"/>
      <c r="AE504" s="148"/>
      <c r="AF504" s="148"/>
      <c r="AG504" s="148"/>
      <c r="AH504" s="148"/>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c r="BI504" s="148"/>
      <c r="BJ504" s="148"/>
      <c r="BK504" s="148"/>
    </row>
    <row r="505" spans="1:63" hidden="1" x14ac:dyDescent="0.25">
      <c r="A505" s="19"/>
      <c r="E505" s="138">
        <f t="shared" si="52"/>
        <v>48945</v>
      </c>
      <c r="F505" s="63">
        <f t="shared" si="51"/>
        <v>2034</v>
      </c>
      <c r="G505" s="124">
        <f t="shared" si="53"/>
        <v>20</v>
      </c>
      <c r="H505" s="19"/>
      <c r="I505" s="407">
        <f t="shared" si="55"/>
        <v>234</v>
      </c>
      <c r="J505" s="177"/>
      <c r="K505" s="177"/>
      <c r="L505" s="177"/>
      <c r="M505" s="288">
        <f>IF(G505&gt;$G$264,"",(SUM(O$269)-SUM(O$271:O504))*(M$269/12))</f>
        <v>335.47232075265498</v>
      </c>
      <c r="N505" s="288"/>
      <c r="O505" s="408">
        <f t="shared" si="54"/>
        <v>551.22697144263634</v>
      </c>
      <c r="P505" s="148"/>
      <c r="Q505" s="177"/>
      <c r="R505" s="177"/>
      <c r="S505" s="177"/>
      <c r="T505" s="148"/>
      <c r="U505" s="148"/>
      <c r="V505" s="148"/>
      <c r="W505" s="148"/>
      <c r="X505" s="148"/>
      <c r="Y505" s="148"/>
      <c r="Z505" s="148"/>
      <c r="AA505" s="148"/>
      <c r="AB505" s="148"/>
      <c r="AC505" s="148"/>
      <c r="AD505" s="148"/>
      <c r="AE505" s="148"/>
      <c r="AF505" s="148"/>
      <c r="AG505" s="148"/>
      <c r="AH505" s="148"/>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c r="BI505" s="148"/>
      <c r="BJ505" s="148"/>
      <c r="BK505" s="148"/>
    </row>
    <row r="506" spans="1:63" hidden="1" x14ac:dyDescent="0.25">
      <c r="A506" s="19"/>
      <c r="E506" s="138">
        <f t="shared" si="52"/>
        <v>48976</v>
      </c>
      <c r="F506" s="63">
        <f t="shared" si="51"/>
        <v>2034</v>
      </c>
      <c r="G506" s="124">
        <f t="shared" si="53"/>
        <v>20</v>
      </c>
      <c r="H506" s="19"/>
      <c r="I506" s="407">
        <f t="shared" si="55"/>
        <v>235</v>
      </c>
      <c r="J506" s="177"/>
      <c r="K506" s="177"/>
      <c r="L506" s="177"/>
      <c r="M506" s="288">
        <f>IF(G506&gt;$G$264,"",(SUM(O$269)-SUM(O$271:O505))*(M$269/12))</f>
        <v>333.40521960974513</v>
      </c>
      <c r="N506" s="288"/>
      <c r="O506" s="408">
        <f t="shared" si="54"/>
        <v>553.29407258554613</v>
      </c>
      <c r="P506" s="148"/>
      <c r="Q506" s="177"/>
      <c r="R506" s="177"/>
      <c r="S506" s="177"/>
      <c r="T506" s="148"/>
      <c r="U506" s="148"/>
      <c r="V506" s="148"/>
      <c r="W506" s="148"/>
      <c r="X506" s="148"/>
      <c r="Y506" s="148"/>
      <c r="Z506" s="148"/>
      <c r="AA506" s="148"/>
      <c r="AB506" s="148"/>
      <c r="AC506" s="148"/>
      <c r="AD506" s="148"/>
      <c r="AE506" s="148"/>
      <c r="AF506" s="148"/>
      <c r="AG506" s="148"/>
      <c r="AH506" s="148"/>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c r="BI506" s="148"/>
      <c r="BJ506" s="148"/>
      <c r="BK506" s="148"/>
    </row>
    <row r="507" spans="1:63" hidden="1" x14ac:dyDescent="0.25">
      <c r="A507" s="19"/>
      <c r="E507" s="138">
        <f t="shared" si="52"/>
        <v>49004</v>
      </c>
      <c r="F507" s="63">
        <f t="shared" si="51"/>
        <v>2034</v>
      </c>
      <c r="G507" s="124">
        <f t="shared" si="53"/>
        <v>20</v>
      </c>
      <c r="H507" s="19"/>
      <c r="I507" s="407">
        <f t="shared" si="55"/>
        <v>236</v>
      </c>
      <c r="J507" s="177"/>
      <c r="K507" s="177"/>
      <c r="L507" s="177"/>
      <c r="M507" s="288">
        <f>IF(G507&gt;$G$264,"",(SUM(O$269)-SUM(O$271:O506))*(M$269/12))</f>
        <v>331.33036683754932</v>
      </c>
      <c r="N507" s="288"/>
      <c r="O507" s="408">
        <f t="shared" si="54"/>
        <v>555.368925357742</v>
      </c>
      <c r="P507" s="148"/>
      <c r="Q507" s="177"/>
      <c r="R507" s="177"/>
      <c r="S507" s="177"/>
      <c r="T507" s="148"/>
      <c r="U507" s="148"/>
      <c r="V507" s="148"/>
      <c r="W507" s="148"/>
      <c r="X507" s="148"/>
      <c r="Y507" s="148"/>
      <c r="Z507" s="148"/>
      <c r="AA507" s="148"/>
      <c r="AB507" s="148"/>
      <c r="AC507" s="148"/>
      <c r="AD507" s="148"/>
      <c r="AE507" s="148"/>
      <c r="AF507" s="148"/>
      <c r="AG507" s="148"/>
      <c r="AH507" s="148"/>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c r="BI507" s="148"/>
      <c r="BJ507" s="148"/>
      <c r="BK507" s="148"/>
    </row>
    <row r="508" spans="1:63" hidden="1" x14ac:dyDescent="0.25">
      <c r="A508" s="19"/>
      <c r="E508" s="138">
        <f t="shared" si="52"/>
        <v>49035</v>
      </c>
      <c r="F508" s="63">
        <f t="shared" si="51"/>
        <v>2034</v>
      </c>
      <c r="G508" s="124">
        <f t="shared" si="53"/>
        <v>20</v>
      </c>
      <c r="H508" s="19"/>
      <c r="I508" s="407">
        <f t="shared" si="55"/>
        <v>237</v>
      </c>
      <c r="J508" s="177"/>
      <c r="K508" s="177"/>
      <c r="L508" s="177"/>
      <c r="M508" s="288">
        <f>IF(G508&gt;$G$264,"",(SUM(O$269)-SUM(O$271:O507))*(M$269/12))</f>
        <v>329.24773336745778</v>
      </c>
      <c r="N508" s="288"/>
      <c r="O508" s="408">
        <f t="shared" si="54"/>
        <v>557.45155882783342</v>
      </c>
      <c r="P508" s="148"/>
      <c r="Q508" s="177"/>
      <c r="R508" s="177"/>
      <c r="S508" s="177"/>
      <c r="T508" s="148"/>
      <c r="U508" s="148"/>
      <c r="V508" s="148"/>
      <c r="W508" s="148"/>
      <c r="X508" s="148"/>
      <c r="Y508" s="148"/>
      <c r="Z508" s="148"/>
      <c r="AA508" s="148"/>
      <c r="AB508" s="148"/>
      <c r="AC508" s="148"/>
      <c r="AD508" s="148"/>
      <c r="AE508" s="148"/>
      <c r="AF508" s="148"/>
      <c r="AG508" s="148"/>
      <c r="AH508" s="148"/>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c r="BI508" s="148"/>
      <c r="BJ508" s="148"/>
      <c r="BK508" s="148"/>
    </row>
    <row r="509" spans="1:63" hidden="1" x14ac:dyDescent="0.25">
      <c r="A509" s="19"/>
      <c r="E509" s="138">
        <f t="shared" si="52"/>
        <v>49065</v>
      </c>
      <c r="F509" s="63">
        <f t="shared" si="51"/>
        <v>2034</v>
      </c>
      <c r="G509" s="124">
        <f t="shared" si="53"/>
        <v>20</v>
      </c>
      <c r="H509" s="19"/>
      <c r="I509" s="407">
        <f t="shared" si="55"/>
        <v>238</v>
      </c>
      <c r="J509" s="177"/>
      <c r="K509" s="177"/>
      <c r="L509" s="177"/>
      <c r="M509" s="288">
        <f>IF(G509&gt;$G$264,"",(SUM(O$269)-SUM(O$271:O508))*(M$269/12))</f>
        <v>327.15729002185338</v>
      </c>
      <c r="N509" s="288"/>
      <c r="O509" s="408">
        <f t="shared" si="54"/>
        <v>559.54200217343782</v>
      </c>
      <c r="P509" s="148"/>
      <c r="Q509" s="177"/>
      <c r="R509" s="177"/>
      <c r="S509" s="177"/>
      <c r="T509" s="148"/>
      <c r="U509" s="148"/>
      <c r="V509" s="148"/>
      <c r="W509" s="148"/>
      <c r="X509" s="148"/>
      <c r="Y509" s="148"/>
      <c r="Z509" s="148"/>
      <c r="AA509" s="148"/>
      <c r="AB509" s="148"/>
      <c r="AC509" s="148"/>
      <c r="AD509" s="148"/>
      <c r="AE509" s="148"/>
      <c r="AF509" s="148"/>
      <c r="AG509" s="148"/>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c r="BI509" s="148"/>
      <c r="BJ509" s="148"/>
      <c r="BK509" s="148"/>
    </row>
    <row r="510" spans="1:63" hidden="1" x14ac:dyDescent="0.25">
      <c r="A510" s="19"/>
      <c r="E510" s="138">
        <f t="shared" si="52"/>
        <v>49096</v>
      </c>
      <c r="F510" s="63">
        <f t="shared" si="51"/>
        <v>2034</v>
      </c>
      <c r="G510" s="124">
        <f t="shared" si="53"/>
        <v>20</v>
      </c>
      <c r="H510" s="19"/>
      <c r="I510" s="407">
        <f t="shared" si="55"/>
        <v>239</v>
      </c>
      <c r="J510" s="177"/>
      <c r="K510" s="177"/>
      <c r="L510" s="177"/>
      <c r="M510" s="288">
        <f>IF(G510&gt;$G$264,"",(SUM(O$269)-SUM(O$271:O509))*(M$269/12))</f>
        <v>325.05900751370302</v>
      </c>
      <c r="N510" s="288"/>
      <c r="O510" s="408">
        <f t="shared" si="54"/>
        <v>561.64028468158824</v>
      </c>
      <c r="P510" s="148"/>
      <c r="Q510" s="177"/>
      <c r="R510" s="177"/>
      <c r="S510" s="177"/>
      <c r="T510" s="148"/>
      <c r="U510" s="148"/>
      <c r="V510" s="148"/>
      <c r="W510" s="148"/>
      <c r="X510" s="148"/>
      <c r="Y510" s="148"/>
      <c r="Z510" s="148"/>
      <c r="AA510" s="148"/>
      <c r="AB510" s="148"/>
      <c r="AC510" s="148"/>
      <c r="AD510" s="148"/>
      <c r="AE510" s="148"/>
      <c r="AF510" s="148"/>
      <c r="AG510" s="148"/>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c r="BI510" s="148"/>
      <c r="BJ510" s="148"/>
      <c r="BK510" s="148"/>
    </row>
    <row r="511" spans="1:63" hidden="1" x14ac:dyDescent="0.25">
      <c r="A511" s="19"/>
      <c r="E511" s="138">
        <f t="shared" si="52"/>
        <v>49126</v>
      </c>
      <c r="F511" s="63">
        <f t="shared" si="51"/>
        <v>2034</v>
      </c>
      <c r="G511" s="124">
        <f t="shared" si="53"/>
        <v>20</v>
      </c>
      <c r="H511" s="19"/>
      <c r="I511" s="407">
        <f t="shared" si="55"/>
        <v>240</v>
      </c>
      <c r="J511" s="177"/>
      <c r="K511" s="177"/>
      <c r="L511" s="177"/>
      <c r="M511" s="288">
        <f>IF(G511&gt;$G$264,"",(SUM(O$269)-SUM(O$271:O510))*(M$269/12))</f>
        <v>322.95285644614705</v>
      </c>
      <c r="N511" s="288"/>
      <c r="O511" s="408">
        <f t="shared" si="54"/>
        <v>563.74643574914421</v>
      </c>
      <c r="P511" s="148"/>
      <c r="Q511" s="177"/>
      <c r="R511" s="177"/>
      <c r="S511" s="177"/>
      <c r="T511" s="148"/>
      <c r="U511" s="148"/>
      <c r="V511" s="148"/>
      <c r="W511" s="148"/>
      <c r="X511" s="148"/>
      <c r="Y511" s="148"/>
      <c r="Z511" s="148"/>
      <c r="AA511" s="148"/>
      <c r="AB511" s="148"/>
      <c r="AC511" s="148"/>
      <c r="AD511" s="148"/>
      <c r="AE511" s="148"/>
      <c r="AF511" s="148"/>
      <c r="AG511" s="148"/>
      <c r="AH511" s="148"/>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c r="BI511" s="148"/>
      <c r="BJ511" s="148"/>
      <c r="BK511" s="148"/>
    </row>
    <row r="512" spans="1:63" hidden="1" x14ac:dyDescent="0.25">
      <c r="A512" s="19"/>
      <c r="E512" s="138">
        <f t="shared" si="52"/>
        <v>49157</v>
      </c>
      <c r="F512" s="63">
        <f t="shared" si="51"/>
        <v>2034</v>
      </c>
      <c r="G512" s="124">
        <f t="shared" si="53"/>
        <v>21</v>
      </c>
      <c r="H512" s="19"/>
      <c r="I512" s="407">
        <f t="shared" si="55"/>
        <v>241</v>
      </c>
      <c r="J512" s="177"/>
      <c r="K512" s="177"/>
      <c r="L512" s="177"/>
      <c r="M512" s="288">
        <f>IF(G512&gt;$G$264,"",(SUM(O$269)-SUM(O$271:O511))*(M$269/12))</f>
        <v>320.83880731208779</v>
      </c>
      <c r="N512" s="288"/>
      <c r="O512" s="408">
        <f t="shared" si="54"/>
        <v>565.86048488320353</v>
      </c>
      <c r="P512" s="148"/>
      <c r="Q512" s="177"/>
      <c r="R512" s="177"/>
      <c r="S512" s="177"/>
      <c r="T512" s="148"/>
      <c r="U512" s="148"/>
      <c r="V512" s="148"/>
      <c r="W512" s="148"/>
      <c r="X512" s="148"/>
      <c r="Y512" s="148"/>
      <c r="Z512" s="148"/>
      <c r="AA512" s="148"/>
      <c r="AB512" s="148"/>
      <c r="AC512" s="148"/>
      <c r="AD512" s="148"/>
      <c r="AE512" s="148"/>
      <c r="AF512" s="148"/>
      <c r="AG512" s="148"/>
      <c r="AH512" s="148"/>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c r="BI512" s="148"/>
      <c r="BJ512" s="148"/>
      <c r="BK512" s="148"/>
    </row>
    <row r="513" spans="1:63" hidden="1" x14ac:dyDescent="0.25">
      <c r="A513" s="19"/>
      <c r="E513" s="138">
        <f t="shared" si="52"/>
        <v>49188</v>
      </c>
      <c r="F513" s="63">
        <f t="shared" si="51"/>
        <v>2034</v>
      </c>
      <c r="G513" s="124">
        <f t="shared" si="53"/>
        <v>21</v>
      </c>
      <c r="H513" s="19"/>
      <c r="I513" s="407">
        <f t="shared" si="55"/>
        <v>242</v>
      </c>
      <c r="J513" s="177"/>
      <c r="K513" s="177"/>
      <c r="L513" s="177"/>
      <c r="M513" s="288">
        <f>IF(G513&gt;$G$264,"",(SUM(O$269)-SUM(O$271:O512))*(M$269/12))</f>
        <v>318.71683049377577</v>
      </c>
      <c r="N513" s="288"/>
      <c r="O513" s="408">
        <f t="shared" si="54"/>
        <v>567.98246170151549</v>
      </c>
      <c r="P513" s="148"/>
      <c r="Q513" s="177"/>
      <c r="R513" s="177"/>
      <c r="S513" s="177"/>
      <c r="T513" s="148"/>
      <c r="U513" s="148"/>
      <c r="V513" s="148"/>
      <c r="W513" s="148"/>
      <c r="X513" s="148"/>
      <c r="Y513" s="148"/>
      <c r="Z513" s="148"/>
      <c r="AA513" s="148"/>
      <c r="AB513" s="148"/>
      <c r="AC513" s="148"/>
      <c r="AD513" s="148"/>
      <c r="AE513" s="148"/>
      <c r="AF513" s="148"/>
      <c r="AG513" s="148"/>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c r="BI513" s="148"/>
      <c r="BJ513" s="148"/>
      <c r="BK513" s="148"/>
    </row>
    <row r="514" spans="1:63" hidden="1" x14ac:dyDescent="0.25">
      <c r="A514" s="19"/>
      <c r="E514" s="138">
        <f t="shared" si="52"/>
        <v>49218</v>
      </c>
      <c r="F514" s="63">
        <f t="shared" si="51"/>
        <v>2034</v>
      </c>
      <c r="G514" s="124">
        <f t="shared" si="53"/>
        <v>21</v>
      </c>
      <c r="H514" s="19"/>
      <c r="I514" s="407">
        <f t="shared" si="55"/>
        <v>243</v>
      </c>
      <c r="J514" s="177"/>
      <c r="K514" s="177"/>
      <c r="L514" s="177"/>
      <c r="M514" s="288">
        <f>IF(G514&gt;$G$264,"",(SUM(O$269)-SUM(O$271:O513))*(M$269/12))</f>
        <v>316.5868962623951</v>
      </c>
      <c r="N514" s="288"/>
      <c r="O514" s="408">
        <f t="shared" si="54"/>
        <v>570.11239593289611</v>
      </c>
      <c r="P514" s="148"/>
      <c r="Q514" s="177"/>
      <c r="R514" s="177"/>
      <c r="S514" s="177"/>
      <c r="T514" s="148"/>
      <c r="U514" s="148"/>
      <c r="V514" s="148"/>
      <c r="W514" s="148"/>
      <c r="X514" s="148"/>
      <c r="Y514" s="148"/>
      <c r="Z514" s="148"/>
      <c r="AA514" s="148"/>
      <c r="AB514" s="148"/>
      <c r="AC514" s="148"/>
      <c r="AD514" s="148"/>
      <c r="AE514" s="148"/>
      <c r="AF514" s="148"/>
      <c r="AG514" s="148"/>
      <c r="AH514" s="148"/>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c r="BI514" s="148"/>
      <c r="BJ514" s="148"/>
      <c r="BK514" s="148"/>
    </row>
    <row r="515" spans="1:63" hidden="1" x14ac:dyDescent="0.25">
      <c r="A515" s="19"/>
      <c r="E515" s="138">
        <f t="shared" si="52"/>
        <v>49249</v>
      </c>
      <c r="F515" s="63">
        <f t="shared" si="51"/>
        <v>2034</v>
      </c>
      <c r="G515" s="124">
        <f t="shared" si="53"/>
        <v>21</v>
      </c>
      <c r="H515" s="19"/>
      <c r="I515" s="407">
        <f t="shared" si="55"/>
        <v>244</v>
      </c>
      <c r="J515" s="177"/>
      <c r="K515" s="177"/>
      <c r="L515" s="177"/>
      <c r="M515" s="288">
        <f>IF(G515&gt;$G$264,"",(SUM(O$269)-SUM(O$271:O514))*(M$269/12))</f>
        <v>314.44897477764675</v>
      </c>
      <c r="N515" s="288"/>
      <c r="O515" s="408">
        <f t="shared" si="54"/>
        <v>572.25031741764451</v>
      </c>
      <c r="P515" s="148"/>
      <c r="Q515" s="177"/>
      <c r="R515" s="177"/>
      <c r="S515" s="177"/>
      <c r="T515" s="148"/>
      <c r="U515" s="148"/>
      <c r="V515" s="148"/>
      <c r="W515" s="148"/>
      <c r="X515" s="148"/>
      <c r="Y515" s="148"/>
      <c r="Z515" s="148"/>
      <c r="AA515" s="148"/>
      <c r="AB515" s="148"/>
      <c r="AC515" s="148"/>
      <c r="AD515" s="148"/>
      <c r="AE515" s="148"/>
      <c r="AF515" s="148"/>
      <c r="AG515" s="148"/>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c r="BI515" s="148"/>
      <c r="BJ515" s="148"/>
      <c r="BK515" s="148"/>
    </row>
    <row r="516" spans="1:63" hidden="1" x14ac:dyDescent="0.25">
      <c r="A516" s="19"/>
      <c r="E516" s="138">
        <f t="shared" si="52"/>
        <v>49279</v>
      </c>
      <c r="F516" s="63">
        <f t="shared" si="51"/>
        <v>2034</v>
      </c>
      <c r="G516" s="124">
        <f t="shared" si="53"/>
        <v>21</v>
      </c>
      <c r="H516" s="19"/>
      <c r="I516" s="407">
        <f t="shared" si="55"/>
        <v>245</v>
      </c>
      <c r="J516" s="177"/>
      <c r="K516" s="177"/>
      <c r="L516" s="177"/>
      <c r="M516" s="288">
        <f>IF(G516&gt;$G$264,"",(SUM(O$269)-SUM(O$271:O515))*(M$269/12))</f>
        <v>312.30303608733061</v>
      </c>
      <c r="N516" s="288"/>
      <c r="O516" s="408">
        <f t="shared" si="54"/>
        <v>574.39625610796065</v>
      </c>
      <c r="P516" s="148"/>
      <c r="Q516" s="177"/>
      <c r="R516" s="177"/>
      <c r="S516" s="177"/>
      <c r="T516" s="148"/>
      <c r="U516" s="148"/>
      <c r="V516" s="148"/>
      <c r="W516" s="148"/>
      <c r="X516" s="148"/>
      <c r="Y516" s="148"/>
      <c r="Z516" s="148"/>
      <c r="AA516" s="148"/>
      <c r="AB516" s="148"/>
      <c r="AC516" s="148"/>
      <c r="AD516" s="148"/>
      <c r="AE516" s="148"/>
      <c r="AF516" s="148"/>
      <c r="AG516" s="148"/>
      <c r="AH516" s="148"/>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c r="BI516" s="148"/>
      <c r="BJ516" s="148"/>
      <c r="BK516" s="148"/>
    </row>
    <row r="517" spans="1:63" hidden="1" x14ac:dyDescent="0.25">
      <c r="A517" s="19"/>
      <c r="E517" s="138">
        <f t="shared" si="52"/>
        <v>49310</v>
      </c>
      <c r="F517" s="63">
        <f t="shared" ref="F517:F580" si="56">IF(M517="","",YEAR(E517))</f>
        <v>2035</v>
      </c>
      <c r="G517" s="124">
        <f t="shared" si="53"/>
        <v>21</v>
      </c>
      <c r="H517" s="19"/>
      <c r="I517" s="407">
        <f t="shared" si="55"/>
        <v>246</v>
      </c>
      <c r="J517" s="177"/>
      <c r="K517" s="177"/>
      <c r="L517" s="177"/>
      <c r="M517" s="288">
        <f>IF(G517&gt;$G$264,"",(SUM(O$269)-SUM(O$271:O516))*(M$269/12))</f>
        <v>310.14905012692577</v>
      </c>
      <c r="N517" s="288"/>
      <c r="O517" s="408">
        <f t="shared" si="54"/>
        <v>576.55024206836549</v>
      </c>
      <c r="P517" s="148"/>
      <c r="Q517" s="177"/>
      <c r="R517" s="177"/>
      <c r="S517" s="177"/>
      <c r="T517" s="148"/>
      <c r="U517" s="148"/>
      <c r="V517" s="148"/>
      <c r="W517" s="148"/>
      <c r="X517" s="148"/>
      <c r="Y517" s="148"/>
      <c r="Z517" s="148"/>
      <c r="AA517" s="148"/>
      <c r="AB517" s="148"/>
      <c r="AC517" s="148"/>
      <c r="AD517" s="148"/>
      <c r="AE517" s="148"/>
      <c r="AF517" s="148"/>
      <c r="AG517" s="148"/>
      <c r="AH517" s="148"/>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c r="BI517" s="148"/>
      <c r="BJ517" s="148"/>
      <c r="BK517" s="148"/>
    </row>
    <row r="518" spans="1:63" hidden="1" x14ac:dyDescent="0.25">
      <c r="A518" s="19"/>
      <c r="E518" s="138">
        <f t="shared" si="52"/>
        <v>49341</v>
      </c>
      <c r="F518" s="63">
        <f t="shared" si="56"/>
        <v>2035</v>
      </c>
      <c r="G518" s="124">
        <f t="shared" si="53"/>
        <v>21</v>
      </c>
      <c r="H518" s="19"/>
      <c r="I518" s="407">
        <f t="shared" si="55"/>
        <v>247</v>
      </c>
      <c r="J518" s="177"/>
      <c r="K518" s="177"/>
      <c r="L518" s="177"/>
      <c r="M518" s="288">
        <f>IF(G518&gt;$G$264,"",(SUM(O$269)-SUM(O$271:O517))*(M$269/12))</f>
        <v>307.98698671916941</v>
      </c>
      <c r="N518" s="288"/>
      <c r="O518" s="408">
        <f t="shared" si="54"/>
        <v>578.71230547612186</v>
      </c>
      <c r="P518" s="148"/>
      <c r="Q518" s="177"/>
      <c r="R518" s="177"/>
      <c r="S518" s="177"/>
      <c r="T518" s="148"/>
      <c r="U518" s="148"/>
      <c r="V518" s="148"/>
      <c r="W518" s="148"/>
      <c r="X518" s="148"/>
      <c r="Y518" s="148"/>
      <c r="Z518" s="148"/>
      <c r="AA518" s="148"/>
      <c r="AB518" s="148"/>
      <c r="AC518" s="148"/>
      <c r="AD518" s="148"/>
      <c r="AE518" s="148"/>
      <c r="AF518" s="148"/>
      <c r="AG518" s="148"/>
      <c r="AH518" s="148"/>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c r="BI518" s="148"/>
      <c r="BJ518" s="148"/>
      <c r="BK518" s="148"/>
    </row>
    <row r="519" spans="1:63" hidden="1" x14ac:dyDescent="0.25">
      <c r="A519" s="19"/>
      <c r="E519" s="138">
        <f t="shared" si="52"/>
        <v>49369</v>
      </c>
      <c r="F519" s="63">
        <f t="shared" si="56"/>
        <v>2035</v>
      </c>
      <c r="G519" s="124">
        <f t="shared" si="53"/>
        <v>21</v>
      </c>
      <c r="H519" s="19"/>
      <c r="I519" s="407">
        <f t="shared" si="55"/>
        <v>248</v>
      </c>
      <c r="J519" s="177"/>
      <c r="K519" s="177"/>
      <c r="L519" s="177"/>
      <c r="M519" s="288">
        <f>IF(G519&gt;$G$264,"",(SUM(O$269)-SUM(O$271:O518))*(M$269/12))</f>
        <v>305.81681557363396</v>
      </c>
      <c r="N519" s="288"/>
      <c r="O519" s="408">
        <f t="shared" si="54"/>
        <v>580.88247662165736</v>
      </c>
      <c r="P519" s="148"/>
      <c r="Q519" s="177"/>
      <c r="R519" s="177"/>
      <c r="S519" s="177"/>
      <c r="T519" s="148"/>
      <c r="U519" s="148"/>
      <c r="V519" s="148"/>
      <c r="W519" s="148"/>
      <c r="X519" s="148"/>
      <c r="Y519" s="148"/>
      <c r="Z519" s="148"/>
      <c r="AA519" s="148"/>
      <c r="AB519" s="148"/>
      <c r="AC519" s="148"/>
      <c r="AD519" s="148"/>
      <c r="AE519" s="148"/>
      <c r="AF519" s="148"/>
      <c r="AG519" s="148"/>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c r="BI519" s="148"/>
      <c r="BJ519" s="148"/>
      <c r="BK519" s="148"/>
    </row>
    <row r="520" spans="1:63" hidden="1" x14ac:dyDescent="0.25">
      <c r="A520" s="19"/>
      <c r="E520" s="138">
        <f t="shared" si="52"/>
        <v>49400</v>
      </c>
      <c r="F520" s="63">
        <f t="shared" si="56"/>
        <v>2035</v>
      </c>
      <c r="G520" s="124">
        <f t="shared" si="53"/>
        <v>21</v>
      </c>
      <c r="H520" s="19"/>
      <c r="I520" s="407">
        <f t="shared" si="55"/>
        <v>249</v>
      </c>
      <c r="J520" s="177"/>
      <c r="K520" s="177"/>
      <c r="L520" s="177"/>
      <c r="M520" s="288">
        <f>IF(G520&gt;$G$264,"",(SUM(O$269)-SUM(O$271:O519))*(M$269/12))</f>
        <v>303.63850628630274</v>
      </c>
      <c r="N520" s="288"/>
      <c r="O520" s="408">
        <f t="shared" si="54"/>
        <v>583.06078590898846</v>
      </c>
      <c r="P520" s="148"/>
      <c r="Q520" s="177"/>
      <c r="R520" s="177"/>
      <c r="S520" s="177"/>
      <c r="T520" s="148"/>
      <c r="U520" s="148"/>
      <c r="V520" s="148"/>
      <c r="W520" s="148"/>
      <c r="X520" s="148"/>
      <c r="Y520" s="148"/>
      <c r="Z520" s="148"/>
      <c r="AA520" s="148"/>
      <c r="AB520" s="148"/>
      <c r="AC520" s="148"/>
      <c r="AD520" s="148"/>
      <c r="AE520" s="148"/>
      <c r="AF520" s="148"/>
      <c r="AG520" s="148"/>
      <c r="AH520" s="148"/>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c r="BI520" s="148"/>
      <c r="BJ520" s="148"/>
      <c r="BK520" s="148"/>
    </row>
    <row r="521" spans="1:63" hidden="1" x14ac:dyDescent="0.25">
      <c r="A521" s="19"/>
      <c r="E521" s="138">
        <f t="shared" si="52"/>
        <v>49430</v>
      </c>
      <c r="F521" s="63">
        <f t="shared" si="56"/>
        <v>2035</v>
      </c>
      <c r="G521" s="124">
        <f t="shared" si="53"/>
        <v>21</v>
      </c>
      <c r="H521" s="19"/>
      <c r="I521" s="407">
        <f t="shared" si="55"/>
        <v>250</v>
      </c>
      <c r="J521" s="177"/>
      <c r="K521" s="177"/>
      <c r="L521" s="177"/>
      <c r="M521" s="288">
        <f>IF(G521&gt;$G$264,"",(SUM(O$269)-SUM(O$271:O520))*(M$269/12))</f>
        <v>301.45202833914402</v>
      </c>
      <c r="N521" s="288"/>
      <c r="O521" s="408">
        <f t="shared" si="54"/>
        <v>585.24726385614724</v>
      </c>
      <c r="P521" s="148"/>
      <c r="Q521" s="177"/>
      <c r="R521" s="177"/>
      <c r="S521" s="177"/>
      <c r="T521" s="148"/>
      <c r="U521" s="148"/>
      <c r="V521" s="148"/>
      <c r="W521" s="148"/>
      <c r="X521" s="148"/>
      <c r="Y521" s="148"/>
      <c r="Z521" s="148"/>
      <c r="AA521" s="148"/>
      <c r="AB521" s="148"/>
      <c r="AC521" s="148"/>
      <c r="AD521" s="148"/>
      <c r="AE521" s="148"/>
      <c r="AF521" s="148"/>
      <c r="AG521" s="148"/>
      <c r="AH521" s="148"/>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c r="BI521" s="148"/>
      <c r="BJ521" s="148"/>
      <c r="BK521" s="148"/>
    </row>
    <row r="522" spans="1:63" hidden="1" x14ac:dyDescent="0.25">
      <c r="A522" s="19"/>
      <c r="E522" s="138">
        <f t="shared" si="52"/>
        <v>49461</v>
      </c>
      <c r="F522" s="63">
        <f t="shared" si="56"/>
        <v>2035</v>
      </c>
      <c r="G522" s="124">
        <f t="shared" si="53"/>
        <v>21</v>
      </c>
      <c r="H522" s="19"/>
      <c r="I522" s="407">
        <f t="shared" si="55"/>
        <v>251</v>
      </c>
      <c r="J522" s="177"/>
      <c r="K522" s="177"/>
      <c r="L522" s="177"/>
      <c r="M522" s="288">
        <f>IF(G522&gt;$G$264,"",(SUM(O$269)-SUM(O$271:O521))*(M$269/12))</f>
        <v>299.25735109968349</v>
      </c>
      <c r="N522" s="288"/>
      <c r="O522" s="408">
        <f t="shared" si="54"/>
        <v>587.44194109560772</v>
      </c>
      <c r="P522" s="148"/>
      <c r="Q522" s="177"/>
      <c r="R522" s="177"/>
      <c r="S522" s="177"/>
      <c r="T522" s="148"/>
      <c r="U522" s="148"/>
      <c r="V522" s="148"/>
      <c r="W522" s="148"/>
      <c r="X522" s="148"/>
      <c r="Y522" s="148"/>
      <c r="Z522" s="148"/>
      <c r="AA522" s="148"/>
      <c r="AB522" s="148"/>
      <c r="AC522" s="148"/>
      <c r="AD522" s="148"/>
      <c r="AE522" s="148"/>
      <c r="AF522" s="148"/>
      <c r="AG522" s="148"/>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c r="BI522" s="148"/>
      <c r="BJ522" s="148"/>
      <c r="BK522" s="148"/>
    </row>
    <row r="523" spans="1:63" hidden="1" x14ac:dyDescent="0.25">
      <c r="A523" s="19"/>
      <c r="E523" s="138">
        <f t="shared" si="52"/>
        <v>49491</v>
      </c>
      <c r="F523" s="63">
        <f t="shared" si="56"/>
        <v>2035</v>
      </c>
      <c r="G523" s="124">
        <f t="shared" si="53"/>
        <v>21</v>
      </c>
      <c r="H523" s="19"/>
      <c r="I523" s="407">
        <f t="shared" si="55"/>
        <v>252</v>
      </c>
      <c r="J523" s="177"/>
      <c r="K523" s="177"/>
      <c r="L523" s="177"/>
      <c r="M523" s="288">
        <f>IF(G523&gt;$G$264,"",(SUM(O$269)-SUM(O$271:O522))*(M$269/12))</f>
        <v>297.05444382057499</v>
      </c>
      <c r="N523" s="288"/>
      <c r="O523" s="408">
        <f t="shared" si="54"/>
        <v>589.64484837471628</v>
      </c>
      <c r="P523" s="148"/>
      <c r="Q523" s="177"/>
      <c r="R523" s="177"/>
      <c r="S523" s="177"/>
      <c r="T523" s="148"/>
      <c r="U523" s="148"/>
      <c r="V523" s="148"/>
      <c r="W523" s="148"/>
      <c r="X523" s="148"/>
      <c r="Y523" s="148"/>
      <c r="Z523" s="148"/>
      <c r="AA523" s="148"/>
      <c r="AB523" s="148"/>
      <c r="AC523" s="148"/>
      <c r="AD523" s="148"/>
      <c r="AE523" s="148"/>
      <c r="AF523" s="148"/>
      <c r="AG523" s="148"/>
      <c r="AH523" s="148"/>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c r="BI523" s="148"/>
      <c r="BJ523" s="148"/>
      <c r="BK523" s="148"/>
    </row>
    <row r="524" spans="1:63" hidden="1" x14ac:dyDescent="0.25">
      <c r="A524" s="19"/>
      <c r="E524" s="138">
        <f t="shared" si="52"/>
        <v>49522</v>
      </c>
      <c r="F524" s="63">
        <f t="shared" si="56"/>
        <v>2035</v>
      </c>
      <c r="G524" s="124">
        <f t="shared" si="53"/>
        <v>22</v>
      </c>
      <c r="H524" s="19"/>
      <c r="I524" s="407">
        <f t="shared" si="55"/>
        <v>253</v>
      </c>
      <c r="J524" s="177"/>
      <c r="K524" s="177"/>
      <c r="L524" s="177"/>
      <c r="M524" s="288">
        <f>IF(G524&gt;$G$264,"",(SUM(O$269)-SUM(O$271:O523))*(M$269/12))</f>
        <v>294.8432756391698</v>
      </c>
      <c r="N524" s="288"/>
      <c r="O524" s="408">
        <f t="shared" si="54"/>
        <v>591.8560165561214</v>
      </c>
      <c r="P524" s="148"/>
      <c r="Q524" s="177"/>
      <c r="R524" s="177"/>
      <c r="S524" s="177"/>
      <c r="T524" s="148"/>
      <c r="U524" s="148"/>
      <c r="V524" s="148"/>
      <c r="W524" s="148"/>
      <c r="X524" s="148"/>
      <c r="Y524" s="148"/>
      <c r="Z524" s="148"/>
      <c r="AA524" s="148"/>
      <c r="AB524" s="148"/>
      <c r="AC524" s="148"/>
      <c r="AD524" s="148"/>
      <c r="AE524" s="148"/>
      <c r="AF524" s="148"/>
      <c r="AG524" s="148"/>
      <c r="AH524" s="148"/>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c r="BI524" s="148"/>
      <c r="BJ524" s="148"/>
      <c r="BK524" s="148"/>
    </row>
    <row r="525" spans="1:63" hidden="1" x14ac:dyDescent="0.25">
      <c r="A525" s="19"/>
      <c r="E525" s="138">
        <f t="shared" si="52"/>
        <v>49553</v>
      </c>
      <c r="F525" s="63">
        <f t="shared" si="56"/>
        <v>2035</v>
      </c>
      <c r="G525" s="124">
        <f t="shared" si="53"/>
        <v>22</v>
      </c>
      <c r="H525" s="19"/>
      <c r="I525" s="407">
        <f t="shared" si="55"/>
        <v>254</v>
      </c>
      <c r="J525" s="177"/>
      <c r="K525" s="177"/>
      <c r="L525" s="177"/>
      <c r="M525" s="288">
        <f>IF(G525&gt;$G$264,"",(SUM(O$269)-SUM(O$271:O524))*(M$269/12))</f>
        <v>292.62381557708432</v>
      </c>
      <c r="N525" s="288"/>
      <c r="O525" s="408">
        <f t="shared" si="54"/>
        <v>594.07547661820695</v>
      </c>
      <c r="P525" s="148"/>
      <c r="Q525" s="177"/>
      <c r="R525" s="177"/>
      <c r="S525" s="177"/>
      <c r="T525" s="148"/>
      <c r="U525" s="148"/>
      <c r="V525" s="148"/>
      <c r="W525" s="148"/>
      <c r="X525" s="148"/>
      <c r="Y525" s="148"/>
      <c r="Z525" s="148"/>
      <c r="AA525" s="148"/>
      <c r="AB525" s="148"/>
      <c r="AC525" s="148"/>
      <c r="AD525" s="148"/>
      <c r="AE525" s="148"/>
      <c r="AF525" s="148"/>
      <c r="AG525" s="148"/>
      <c r="AH525" s="148"/>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c r="BI525" s="148"/>
      <c r="BJ525" s="148"/>
      <c r="BK525" s="148"/>
    </row>
    <row r="526" spans="1:63" hidden="1" x14ac:dyDescent="0.25">
      <c r="A526" s="19"/>
      <c r="E526" s="138">
        <f t="shared" si="52"/>
        <v>49583</v>
      </c>
      <c r="F526" s="63">
        <f t="shared" si="56"/>
        <v>2035</v>
      </c>
      <c r="G526" s="124">
        <f t="shared" si="53"/>
        <v>22</v>
      </c>
      <c r="H526" s="19"/>
      <c r="I526" s="407">
        <f t="shared" si="55"/>
        <v>255</v>
      </c>
      <c r="J526" s="177"/>
      <c r="K526" s="177"/>
      <c r="L526" s="177"/>
      <c r="M526" s="288">
        <f>IF(G526&gt;$G$264,"",(SUM(O$269)-SUM(O$271:O525))*(M$269/12))</f>
        <v>290.39603253976605</v>
      </c>
      <c r="N526" s="288"/>
      <c r="O526" s="408">
        <f t="shared" si="54"/>
        <v>596.30325965552515</v>
      </c>
      <c r="P526" s="148"/>
      <c r="Q526" s="177"/>
      <c r="R526" s="177"/>
      <c r="S526" s="177"/>
      <c r="T526" s="148"/>
      <c r="U526" s="148"/>
      <c r="V526" s="148"/>
      <c r="W526" s="148"/>
      <c r="X526" s="148"/>
      <c r="Y526" s="148"/>
      <c r="Z526" s="148"/>
      <c r="AA526" s="148"/>
      <c r="AB526" s="148"/>
      <c r="AC526" s="148"/>
      <c r="AD526" s="148"/>
      <c r="AE526" s="148"/>
      <c r="AF526" s="148"/>
      <c r="AG526" s="148"/>
      <c r="AH526" s="148"/>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c r="BI526" s="148"/>
      <c r="BJ526" s="148"/>
      <c r="BK526" s="148"/>
    </row>
    <row r="527" spans="1:63" hidden="1" x14ac:dyDescent="0.25">
      <c r="A527" s="19"/>
      <c r="E527" s="138">
        <f t="shared" si="52"/>
        <v>49614</v>
      </c>
      <c r="F527" s="63">
        <f t="shared" si="56"/>
        <v>2035</v>
      </c>
      <c r="G527" s="124">
        <f t="shared" si="53"/>
        <v>22</v>
      </c>
      <c r="H527" s="19"/>
      <c r="I527" s="407">
        <f t="shared" si="55"/>
        <v>256</v>
      </c>
      <c r="J527" s="177"/>
      <c r="K527" s="177"/>
      <c r="L527" s="177"/>
      <c r="M527" s="288">
        <f>IF(G527&gt;$G$264,"",(SUM(O$269)-SUM(O$271:O526))*(M$269/12))</f>
        <v>288.15989531605783</v>
      </c>
      <c r="N527" s="288"/>
      <c r="O527" s="408">
        <f t="shared" si="54"/>
        <v>598.53939687923344</v>
      </c>
      <c r="P527" s="148"/>
      <c r="Q527" s="177"/>
      <c r="R527" s="177"/>
      <c r="S527" s="177"/>
      <c r="T527" s="148"/>
      <c r="U527" s="148"/>
      <c r="V527" s="148"/>
      <c r="W527" s="148"/>
      <c r="X527" s="148"/>
      <c r="Y527" s="148"/>
      <c r="Z527" s="148"/>
      <c r="AA527" s="148"/>
      <c r="AB527" s="148"/>
      <c r="AC527" s="148"/>
      <c r="AD527" s="148"/>
      <c r="AE527" s="148"/>
      <c r="AF527" s="148"/>
      <c r="AG527" s="148"/>
      <c r="AH527" s="148"/>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c r="BI527" s="148"/>
      <c r="BJ527" s="148"/>
      <c r="BK527" s="148"/>
    </row>
    <row r="528" spans="1:63" hidden="1" x14ac:dyDescent="0.25">
      <c r="A528" s="19"/>
      <c r="E528" s="138">
        <f t="shared" si="52"/>
        <v>49644</v>
      </c>
      <c r="F528" s="63">
        <f t="shared" si="56"/>
        <v>2035</v>
      </c>
      <c r="G528" s="124">
        <f t="shared" si="53"/>
        <v>22</v>
      </c>
      <c r="H528" s="19"/>
      <c r="I528" s="407">
        <f t="shared" si="55"/>
        <v>257</v>
      </c>
      <c r="J528" s="177"/>
      <c r="K528" s="177"/>
      <c r="L528" s="177"/>
      <c r="M528" s="288">
        <f>IF(G528&gt;$G$264,"",(SUM(O$269)-SUM(O$271:O527))*(M$269/12))</f>
        <v>285.91537257776071</v>
      </c>
      <c r="N528" s="288"/>
      <c r="O528" s="408">
        <f t="shared" si="54"/>
        <v>600.7839196175305</v>
      </c>
      <c r="P528" s="148"/>
      <c r="Q528" s="177"/>
      <c r="R528" s="177"/>
      <c r="S528" s="177"/>
      <c r="T528" s="148"/>
      <c r="U528" s="148"/>
      <c r="V528" s="148"/>
      <c r="W528" s="148"/>
      <c r="X528" s="148"/>
      <c r="Y528" s="148"/>
      <c r="Z528" s="148"/>
      <c r="AA528" s="148"/>
      <c r="AB528" s="148"/>
      <c r="AC528" s="148"/>
      <c r="AD528" s="148"/>
      <c r="AE528" s="148"/>
      <c r="AF528" s="148"/>
      <c r="AG528" s="148"/>
      <c r="AH528" s="148"/>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c r="BI528" s="148"/>
      <c r="BJ528" s="148"/>
      <c r="BK528" s="148"/>
    </row>
    <row r="529" spans="1:63" hidden="1" x14ac:dyDescent="0.25">
      <c r="A529" s="19"/>
      <c r="E529" s="138">
        <f t="shared" ref="E529:E592" si="57">EDATE(E528,1)</f>
        <v>49675</v>
      </c>
      <c r="F529" s="63">
        <f t="shared" si="56"/>
        <v>2036</v>
      </c>
      <c r="G529" s="124">
        <f t="shared" ref="G529:G592" si="58">ROUNDUP(I529/12,0)</f>
        <v>22</v>
      </c>
      <c r="H529" s="19"/>
      <c r="I529" s="407">
        <f t="shared" si="55"/>
        <v>258</v>
      </c>
      <c r="J529" s="177"/>
      <c r="K529" s="177"/>
      <c r="L529" s="177"/>
      <c r="M529" s="288">
        <f>IF(G529&gt;$G$264,"",(SUM(O$269)-SUM(O$271:O528))*(M$269/12))</f>
        <v>283.66243287919491</v>
      </c>
      <c r="N529" s="288"/>
      <c r="O529" s="408">
        <f t="shared" ref="O529:O592" si="59">IF(M529="","",M$270-M529)</f>
        <v>603.0368593160963</v>
      </c>
      <c r="P529" s="148"/>
      <c r="Q529" s="177"/>
      <c r="R529" s="177"/>
      <c r="S529" s="177"/>
      <c r="T529" s="148"/>
      <c r="U529" s="148"/>
      <c r="V529" s="148"/>
      <c r="W529" s="148"/>
      <c r="X529" s="148"/>
      <c r="Y529" s="148"/>
      <c r="Z529" s="148"/>
      <c r="AA529" s="148"/>
      <c r="AB529" s="148"/>
      <c r="AC529" s="148"/>
      <c r="AD529" s="148"/>
      <c r="AE529" s="148"/>
      <c r="AF529" s="148"/>
      <c r="AG529" s="148"/>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c r="BI529" s="148"/>
      <c r="BJ529" s="148"/>
      <c r="BK529" s="148"/>
    </row>
    <row r="530" spans="1:63" hidden="1" x14ac:dyDescent="0.25">
      <c r="A530" s="19"/>
      <c r="E530" s="138">
        <f t="shared" si="57"/>
        <v>49706</v>
      </c>
      <c r="F530" s="63">
        <f t="shared" si="56"/>
        <v>2036</v>
      </c>
      <c r="G530" s="124">
        <f t="shared" si="58"/>
        <v>22</v>
      </c>
      <c r="H530" s="19"/>
      <c r="I530" s="407">
        <f t="shared" ref="I530:I593" si="60">I529+1</f>
        <v>259</v>
      </c>
      <c r="J530" s="177"/>
      <c r="K530" s="177"/>
      <c r="L530" s="177"/>
      <c r="M530" s="288">
        <f>IF(G530&gt;$G$264,"",(SUM(O$269)-SUM(O$271:O529))*(M$269/12))</f>
        <v>281.40104465675955</v>
      </c>
      <c r="N530" s="288"/>
      <c r="O530" s="408">
        <f t="shared" si="59"/>
        <v>605.29824753853177</v>
      </c>
      <c r="P530" s="148"/>
      <c r="Q530" s="177"/>
      <c r="R530" s="177"/>
      <c r="S530" s="177"/>
      <c r="T530" s="148"/>
      <c r="U530" s="148"/>
      <c r="V530" s="148"/>
      <c r="W530" s="148"/>
      <c r="X530" s="148"/>
      <c r="Y530" s="148"/>
      <c r="Z530" s="148"/>
      <c r="AA530" s="148"/>
      <c r="AB530" s="148"/>
      <c r="AC530" s="148"/>
      <c r="AD530" s="148"/>
      <c r="AE530" s="148"/>
      <c r="AF530" s="148"/>
      <c r="AG530" s="148"/>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c r="BI530" s="148"/>
      <c r="BJ530" s="148"/>
      <c r="BK530" s="148"/>
    </row>
    <row r="531" spans="1:63" hidden="1" x14ac:dyDescent="0.25">
      <c r="A531" s="19"/>
      <c r="E531" s="138">
        <f t="shared" si="57"/>
        <v>49735</v>
      </c>
      <c r="F531" s="63">
        <f t="shared" si="56"/>
        <v>2036</v>
      </c>
      <c r="G531" s="124">
        <f t="shared" si="58"/>
        <v>22</v>
      </c>
      <c r="H531" s="19"/>
      <c r="I531" s="407">
        <f t="shared" si="60"/>
        <v>260</v>
      </c>
      <c r="J531" s="177"/>
      <c r="K531" s="177"/>
      <c r="L531" s="177"/>
      <c r="M531" s="288">
        <f>IF(G531&gt;$G$264,"",(SUM(O$269)-SUM(O$271:O530))*(M$269/12))</f>
        <v>279.13117622849006</v>
      </c>
      <c r="N531" s="288"/>
      <c r="O531" s="408">
        <f t="shared" si="59"/>
        <v>607.5681159668012</v>
      </c>
      <c r="P531" s="148"/>
      <c r="Q531" s="177"/>
      <c r="R531" s="177"/>
      <c r="S531" s="177"/>
      <c r="T531" s="148"/>
      <c r="U531" s="148"/>
      <c r="V531" s="148"/>
      <c r="W531" s="148"/>
      <c r="X531" s="148"/>
      <c r="Y531" s="148"/>
      <c r="Z531" s="148"/>
      <c r="AA531" s="148"/>
      <c r="AB531" s="148"/>
      <c r="AC531" s="148"/>
      <c r="AD531" s="148"/>
      <c r="AE531" s="148"/>
      <c r="AF531" s="148"/>
      <c r="AG531" s="148"/>
      <c r="AH531" s="148"/>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c r="BI531" s="148"/>
      <c r="BJ531" s="148"/>
      <c r="BK531" s="148"/>
    </row>
    <row r="532" spans="1:63" hidden="1" x14ac:dyDescent="0.25">
      <c r="A532" s="19"/>
      <c r="E532" s="138">
        <f t="shared" si="57"/>
        <v>49766</v>
      </c>
      <c r="F532" s="63">
        <f t="shared" si="56"/>
        <v>2036</v>
      </c>
      <c r="G532" s="124">
        <f t="shared" si="58"/>
        <v>22</v>
      </c>
      <c r="H532" s="19"/>
      <c r="I532" s="407">
        <f t="shared" si="60"/>
        <v>261</v>
      </c>
      <c r="J532" s="177"/>
      <c r="K532" s="177"/>
      <c r="L532" s="177"/>
      <c r="M532" s="288">
        <f>IF(G532&gt;$G$264,"",(SUM(O$269)-SUM(O$271:O531))*(M$269/12))</f>
        <v>276.85279579361458</v>
      </c>
      <c r="N532" s="288"/>
      <c r="O532" s="408">
        <f t="shared" si="59"/>
        <v>609.84649640167663</v>
      </c>
      <c r="P532" s="148"/>
      <c r="Q532" s="177"/>
      <c r="R532" s="177"/>
      <c r="S532" s="177"/>
      <c r="T532" s="148"/>
      <c r="U532" s="148"/>
      <c r="V532" s="148"/>
      <c r="W532" s="148"/>
      <c r="X532" s="148"/>
      <c r="Y532" s="148"/>
      <c r="Z532" s="148"/>
      <c r="AA532" s="148"/>
      <c r="AB532" s="148"/>
      <c r="AC532" s="148"/>
      <c r="AD532" s="148"/>
      <c r="AE532" s="148"/>
      <c r="AF532" s="148"/>
      <c r="AG532" s="148"/>
      <c r="AH532" s="148"/>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c r="BI532" s="148"/>
      <c r="BJ532" s="148"/>
      <c r="BK532" s="148"/>
    </row>
    <row r="533" spans="1:63" hidden="1" x14ac:dyDescent="0.25">
      <c r="A533" s="19"/>
      <c r="E533" s="138">
        <f t="shared" si="57"/>
        <v>49796</v>
      </c>
      <c r="F533" s="63">
        <f t="shared" si="56"/>
        <v>2036</v>
      </c>
      <c r="G533" s="124">
        <f t="shared" si="58"/>
        <v>22</v>
      </c>
      <c r="H533" s="19"/>
      <c r="I533" s="407">
        <f t="shared" si="60"/>
        <v>262</v>
      </c>
      <c r="J533" s="177"/>
      <c r="K533" s="177"/>
      <c r="L533" s="177"/>
      <c r="M533" s="288">
        <f>IF(G533&gt;$G$264,"",(SUM(O$269)-SUM(O$271:O532))*(M$269/12))</f>
        <v>274.56587143210828</v>
      </c>
      <c r="N533" s="288"/>
      <c r="O533" s="408">
        <f t="shared" si="59"/>
        <v>612.13342076318304</v>
      </c>
      <c r="P533" s="148"/>
      <c r="Q533" s="177"/>
      <c r="R533" s="177"/>
      <c r="S533" s="177"/>
      <c r="T533" s="148"/>
      <c r="U533" s="148"/>
      <c r="V533" s="148"/>
      <c r="W533" s="148"/>
      <c r="X533" s="148"/>
      <c r="Y533" s="148"/>
      <c r="Z533" s="148"/>
      <c r="AA533" s="148"/>
      <c r="AB533" s="148"/>
      <c r="AC533" s="148"/>
      <c r="AD533" s="148"/>
      <c r="AE533" s="148"/>
      <c r="AF533" s="148"/>
      <c r="AG533" s="148"/>
      <c r="AH533" s="148"/>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c r="BI533" s="148"/>
      <c r="BJ533" s="148"/>
      <c r="BK533" s="148"/>
    </row>
    <row r="534" spans="1:63" hidden="1" x14ac:dyDescent="0.25">
      <c r="A534" s="19"/>
      <c r="E534" s="138">
        <f t="shared" si="57"/>
        <v>49827</v>
      </c>
      <c r="F534" s="63">
        <f t="shared" si="56"/>
        <v>2036</v>
      </c>
      <c r="G534" s="124">
        <f t="shared" si="58"/>
        <v>22</v>
      </c>
      <c r="H534" s="19"/>
      <c r="I534" s="407">
        <f t="shared" si="60"/>
        <v>263</v>
      </c>
      <c r="J534" s="177"/>
      <c r="K534" s="177"/>
      <c r="L534" s="177"/>
      <c r="M534" s="288">
        <f>IF(G534&gt;$G$264,"",(SUM(O$269)-SUM(O$271:O533))*(M$269/12))</f>
        <v>272.27037110424635</v>
      </c>
      <c r="N534" s="288"/>
      <c r="O534" s="408">
        <f t="shared" si="59"/>
        <v>614.42892109104491</v>
      </c>
      <c r="P534" s="148"/>
      <c r="Q534" s="177"/>
      <c r="R534" s="177"/>
      <c r="S534" s="177"/>
      <c r="T534" s="148"/>
      <c r="U534" s="148"/>
      <c r="V534" s="148"/>
      <c r="W534" s="148"/>
      <c r="X534" s="148"/>
      <c r="Y534" s="148"/>
      <c r="Z534" s="148"/>
      <c r="AA534" s="148"/>
      <c r="AB534" s="148"/>
      <c r="AC534" s="148"/>
      <c r="AD534" s="148"/>
      <c r="AE534" s="148"/>
      <c r="AF534" s="148"/>
      <c r="AG534" s="148"/>
      <c r="AH534" s="148"/>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c r="BI534" s="148"/>
      <c r="BJ534" s="148"/>
      <c r="BK534" s="148"/>
    </row>
    <row r="535" spans="1:63" hidden="1" x14ac:dyDescent="0.25">
      <c r="A535" s="19"/>
      <c r="E535" s="138">
        <f t="shared" si="57"/>
        <v>49857</v>
      </c>
      <c r="F535" s="63">
        <f t="shared" si="56"/>
        <v>2036</v>
      </c>
      <c r="G535" s="124">
        <f t="shared" si="58"/>
        <v>22</v>
      </c>
      <c r="H535" s="19"/>
      <c r="I535" s="407">
        <f t="shared" si="60"/>
        <v>264</v>
      </c>
      <c r="J535" s="177"/>
      <c r="K535" s="177"/>
      <c r="L535" s="177"/>
      <c r="M535" s="288">
        <f>IF(G535&gt;$G$264,"",(SUM(O$269)-SUM(O$271:O534))*(M$269/12))</f>
        <v>269.96626265015487</v>
      </c>
      <c r="N535" s="288"/>
      <c r="O535" s="408">
        <f t="shared" si="59"/>
        <v>616.73302954513633</v>
      </c>
      <c r="P535" s="148"/>
      <c r="Q535" s="177"/>
      <c r="R535" s="177"/>
      <c r="S535" s="177"/>
      <c r="T535" s="148"/>
      <c r="U535" s="148"/>
      <c r="V535" s="148"/>
      <c r="W535" s="148"/>
      <c r="X535" s="148"/>
      <c r="Y535" s="148"/>
      <c r="Z535" s="148"/>
      <c r="AA535" s="148"/>
      <c r="AB535" s="148"/>
      <c r="AC535" s="148"/>
      <c r="AD535" s="148"/>
      <c r="AE535" s="148"/>
      <c r="AF535" s="148"/>
      <c r="AG535" s="148"/>
      <c r="AH535" s="148"/>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c r="BI535" s="148"/>
      <c r="BJ535" s="148"/>
      <c r="BK535" s="148"/>
    </row>
    <row r="536" spans="1:63" hidden="1" x14ac:dyDescent="0.25">
      <c r="A536" s="19"/>
      <c r="E536" s="138">
        <f t="shared" si="57"/>
        <v>49888</v>
      </c>
      <c r="F536" s="63">
        <f t="shared" si="56"/>
        <v>2036</v>
      </c>
      <c r="G536" s="124">
        <f t="shared" si="58"/>
        <v>23</v>
      </c>
      <c r="H536" s="19"/>
      <c r="I536" s="407">
        <f t="shared" si="60"/>
        <v>265</v>
      </c>
      <c r="J536" s="177"/>
      <c r="K536" s="177"/>
      <c r="L536" s="177"/>
      <c r="M536" s="288">
        <f>IF(G536&gt;$G$264,"",(SUM(O$269)-SUM(O$271:O535))*(M$269/12))</f>
        <v>267.6535137893606</v>
      </c>
      <c r="N536" s="288"/>
      <c r="O536" s="408">
        <f t="shared" si="59"/>
        <v>619.04577840593061</v>
      </c>
      <c r="P536" s="148"/>
      <c r="Q536" s="177"/>
      <c r="R536" s="177"/>
      <c r="S536" s="177"/>
      <c r="T536" s="148"/>
      <c r="U536" s="148"/>
      <c r="V536" s="148"/>
      <c r="W536" s="148"/>
      <c r="X536" s="148"/>
      <c r="Y536" s="148"/>
      <c r="Z536" s="148"/>
      <c r="AA536" s="148"/>
      <c r="AB536" s="148"/>
      <c r="AC536" s="148"/>
      <c r="AD536" s="148"/>
      <c r="AE536" s="148"/>
      <c r="AF536" s="148"/>
      <c r="AG536" s="148"/>
      <c r="AH536" s="148"/>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c r="BI536" s="148"/>
      <c r="BJ536" s="148"/>
      <c r="BK536" s="148"/>
    </row>
    <row r="537" spans="1:63" hidden="1" x14ac:dyDescent="0.25">
      <c r="A537" s="19"/>
      <c r="E537" s="138">
        <f t="shared" si="57"/>
        <v>49919</v>
      </c>
      <c r="F537" s="63">
        <f t="shared" si="56"/>
        <v>2036</v>
      </c>
      <c r="G537" s="124">
        <f t="shared" si="58"/>
        <v>23</v>
      </c>
      <c r="H537" s="19"/>
      <c r="I537" s="407">
        <f t="shared" si="60"/>
        <v>266</v>
      </c>
      <c r="J537" s="177"/>
      <c r="K537" s="177"/>
      <c r="L537" s="177"/>
      <c r="M537" s="288">
        <f>IF(G537&gt;$G$264,"",(SUM(O$269)-SUM(O$271:O536))*(M$269/12))</f>
        <v>265.33209212033842</v>
      </c>
      <c r="N537" s="288"/>
      <c r="O537" s="408">
        <f t="shared" si="59"/>
        <v>621.36720007495285</v>
      </c>
      <c r="P537" s="148"/>
      <c r="Q537" s="177"/>
      <c r="R537" s="177"/>
      <c r="S537" s="177"/>
      <c r="T537" s="148"/>
      <c r="U537" s="148"/>
      <c r="V537" s="148"/>
      <c r="W537" s="148"/>
      <c r="X537" s="148"/>
      <c r="Y537" s="148"/>
      <c r="Z537" s="148"/>
      <c r="AA537" s="148"/>
      <c r="AB537" s="148"/>
      <c r="AC537" s="148"/>
      <c r="AD537" s="148"/>
      <c r="AE537" s="148"/>
      <c r="AF537" s="148"/>
      <c r="AG537" s="148"/>
      <c r="AH537" s="148"/>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c r="BI537" s="148"/>
      <c r="BJ537" s="148"/>
      <c r="BK537" s="148"/>
    </row>
    <row r="538" spans="1:63" hidden="1" x14ac:dyDescent="0.25">
      <c r="A538" s="19"/>
      <c r="E538" s="138">
        <f t="shared" si="57"/>
        <v>49949</v>
      </c>
      <c r="F538" s="63">
        <f t="shared" si="56"/>
        <v>2036</v>
      </c>
      <c r="G538" s="124">
        <f t="shared" si="58"/>
        <v>23</v>
      </c>
      <c r="H538" s="19"/>
      <c r="I538" s="407">
        <f t="shared" si="60"/>
        <v>267</v>
      </c>
      <c r="J538" s="177"/>
      <c r="K538" s="177"/>
      <c r="L538" s="177"/>
      <c r="M538" s="288">
        <f>IF(G538&gt;$G$264,"",(SUM(O$269)-SUM(O$271:O537))*(M$269/12))</f>
        <v>263.00196512005732</v>
      </c>
      <c r="N538" s="288"/>
      <c r="O538" s="408">
        <f t="shared" si="59"/>
        <v>623.69732707523394</v>
      </c>
      <c r="P538" s="148"/>
      <c r="Q538" s="177"/>
      <c r="R538" s="177"/>
      <c r="S538" s="177"/>
      <c r="T538" s="148"/>
      <c r="U538" s="148"/>
      <c r="V538" s="148"/>
      <c r="W538" s="148"/>
      <c r="X538" s="148"/>
      <c r="Y538" s="148"/>
      <c r="Z538" s="148"/>
      <c r="AA538" s="148"/>
      <c r="AB538" s="148"/>
      <c r="AC538" s="148"/>
      <c r="AD538" s="148"/>
      <c r="AE538" s="148"/>
      <c r="AF538" s="148"/>
      <c r="AG538" s="148"/>
      <c r="AH538" s="148"/>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c r="BI538" s="148"/>
      <c r="BJ538" s="148"/>
      <c r="BK538" s="148"/>
    </row>
    <row r="539" spans="1:63" hidden="1" x14ac:dyDescent="0.25">
      <c r="A539" s="19"/>
      <c r="E539" s="138">
        <f t="shared" si="57"/>
        <v>49980</v>
      </c>
      <c r="F539" s="63">
        <f t="shared" si="56"/>
        <v>2036</v>
      </c>
      <c r="G539" s="124">
        <f t="shared" si="58"/>
        <v>23</v>
      </c>
      <c r="H539" s="19"/>
      <c r="I539" s="407">
        <f t="shared" si="60"/>
        <v>268</v>
      </c>
      <c r="J539" s="177"/>
      <c r="K539" s="177"/>
      <c r="L539" s="177"/>
      <c r="M539" s="288">
        <f>IF(G539&gt;$G$264,"",(SUM(O$269)-SUM(O$271:O538))*(M$269/12))</f>
        <v>260.66310014352518</v>
      </c>
      <c r="N539" s="288"/>
      <c r="O539" s="408">
        <f t="shared" si="59"/>
        <v>626.03619205176608</v>
      </c>
      <c r="P539" s="148"/>
      <c r="Q539" s="177"/>
      <c r="R539" s="177"/>
      <c r="S539" s="177"/>
      <c r="T539" s="148"/>
      <c r="U539" s="148"/>
      <c r="V539" s="148"/>
      <c r="W539" s="148"/>
      <c r="X539" s="148"/>
      <c r="Y539" s="148"/>
      <c r="Z539" s="148"/>
      <c r="AA539" s="148"/>
      <c r="AB539" s="148"/>
      <c r="AC539" s="148"/>
      <c r="AD539" s="148"/>
      <c r="AE539" s="148"/>
      <c r="AF539" s="148"/>
      <c r="AG539" s="148"/>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c r="BI539" s="148"/>
      <c r="BJ539" s="148"/>
      <c r="BK539" s="148"/>
    </row>
    <row r="540" spans="1:63" hidden="1" x14ac:dyDescent="0.25">
      <c r="A540" s="19"/>
      <c r="E540" s="138">
        <f t="shared" si="57"/>
        <v>50010</v>
      </c>
      <c r="F540" s="63">
        <f t="shared" si="56"/>
        <v>2036</v>
      </c>
      <c r="G540" s="124">
        <f t="shared" si="58"/>
        <v>23</v>
      </c>
      <c r="H540" s="19"/>
      <c r="I540" s="407">
        <f t="shared" si="60"/>
        <v>269</v>
      </c>
      <c r="J540" s="177"/>
      <c r="K540" s="177"/>
      <c r="L540" s="177"/>
      <c r="M540" s="288">
        <f>IF(G540&gt;$G$264,"",(SUM(O$269)-SUM(O$271:O539))*(M$269/12))</f>
        <v>258.31546442333109</v>
      </c>
      <c r="N540" s="288"/>
      <c r="O540" s="408">
        <f t="shared" si="59"/>
        <v>628.38382777196011</v>
      </c>
      <c r="P540" s="148"/>
      <c r="Q540" s="177"/>
      <c r="R540" s="177"/>
      <c r="S540" s="177"/>
      <c r="T540" s="148"/>
      <c r="U540" s="148"/>
      <c r="V540" s="148"/>
      <c r="W540" s="148"/>
      <c r="X540" s="148"/>
      <c r="Y540" s="148"/>
      <c r="Z540" s="148"/>
      <c r="AA540" s="148"/>
      <c r="AB540" s="148"/>
      <c r="AC540" s="148"/>
      <c r="AD540" s="148"/>
      <c r="AE540" s="148"/>
      <c r="AF540" s="148"/>
      <c r="AG540" s="148"/>
      <c r="AH540" s="148"/>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c r="BI540" s="148"/>
      <c r="BJ540" s="148"/>
      <c r="BK540" s="148"/>
    </row>
    <row r="541" spans="1:63" hidden="1" x14ac:dyDescent="0.25">
      <c r="A541" s="19"/>
      <c r="E541" s="138">
        <f t="shared" si="57"/>
        <v>50041</v>
      </c>
      <c r="F541" s="63">
        <f t="shared" si="56"/>
        <v>2037</v>
      </c>
      <c r="G541" s="124">
        <f t="shared" si="58"/>
        <v>23</v>
      </c>
      <c r="H541" s="19"/>
      <c r="I541" s="407">
        <f t="shared" si="60"/>
        <v>270</v>
      </c>
      <c r="J541" s="177"/>
      <c r="K541" s="177"/>
      <c r="L541" s="177"/>
      <c r="M541" s="288">
        <f>IF(G541&gt;$G$264,"",(SUM(O$269)-SUM(O$271:O540))*(M$269/12))</f>
        <v>255.95902506918623</v>
      </c>
      <c r="N541" s="288"/>
      <c r="O541" s="408">
        <f t="shared" si="59"/>
        <v>630.74026712610498</v>
      </c>
      <c r="P541" s="148"/>
      <c r="Q541" s="177"/>
      <c r="R541" s="177"/>
      <c r="S541" s="177"/>
      <c r="T541" s="148"/>
      <c r="U541" s="148"/>
      <c r="V541" s="148"/>
      <c r="W541" s="148"/>
      <c r="X541" s="148"/>
      <c r="Y541" s="148"/>
      <c r="Z541" s="148"/>
      <c r="AA541" s="148"/>
      <c r="AB541" s="148"/>
      <c r="AC541" s="148"/>
      <c r="AD541" s="148"/>
      <c r="AE541" s="148"/>
      <c r="AF541" s="148"/>
      <c r="AG541" s="148"/>
      <c r="AH541" s="148"/>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c r="BI541" s="148"/>
      <c r="BJ541" s="148"/>
      <c r="BK541" s="148"/>
    </row>
    <row r="542" spans="1:63" hidden="1" x14ac:dyDescent="0.25">
      <c r="A542" s="19"/>
      <c r="E542" s="138">
        <f t="shared" si="57"/>
        <v>50072</v>
      </c>
      <c r="F542" s="63">
        <f t="shared" si="56"/>
        <v>2037</v>
      </c>
      <c r="G542" s="124">
        <f t="shared" si="58"/>
        <v>23</v>
      </c>
      <c r="H542" s="19"/>
      <c r="I542" s="407">
        <f t="shared" si="60"/>
        <v>271</v>
      </c>
      <c r="J542" s="177"/>
      <c r="K542" s="177"/>
      <c r="L542" s="177"/>
      <c r="M542" s="288">
        <f>IF(G542&gt;$G$264,"",(SUM(O$269)-SUM(O$271:O541))*(M$269/12))</f>
        <v>253.59374906746334</v>
      </c>
      <c r="N542" s="288"/>
      <c r="O542" s="408">
        <f t="shared" si="59"/>
        <v>633.1055431278279</v>
      </c>
      <c r="P542" s="148"/>
      <c r="Q542" s="177"/>
      <c r="R542" s="177"/>
      <c r="S542" s="177"/>
      <c r="T542" s="148"/>
      <c r="U542" s="148"/>
      <c r="V542" s="148"/>
      <c r="W542" s="148"/>
      <c r="X542" s="148"/>
      <c r="Y542" s="148"/>
      <c r="Z542" s="148"/>
      <c r="AA542" s="148"/>
      <c r="AB542" s="148"/>
      <c r="AC542" s="148"/>
      <c r="AD542" s="148"/>
      <c r="AE542" s="148"/>
      <c r="AF542" s="148"/>
      <c r="AG542" s="148"/>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c r="BI542" s="148"/>
      <c r="BJ542" s="148"/>
      <c r="BK542" s="148"/>
    </row>
    <row r="543" spans="1:63" hidden="1" x14ac:dyDescent="0.25">
      <c r="A543" s="19"/>
      <c r="E543" s="138">
        <f t="shared" si="57"/>
        <v>50100</v>
      </c>
      <c r="F543" s="63">
        <f t="shared" si="56"/>
        <v>2037</v>
      </c>
      <c r="G543" s="124">
        <f t="shared" si="58"/>
        <v>23</v>
      </c>
      <c r="H543" s="19"/>
      <c r="I543" s="407">
        <f t="shared" si="60"/>
        <v>272</v>
      </c>
      <c r="J543" s="177"/>
      <c r="K543" s="177"/>
      <c r="L543" s="177"/>
      <c r="M543" s="288">
        <f>IF(G543&gt;$G$264,"",(SUM(O$269)-SUM(O$271:O542))*(M$269/12))</f>
        <v>251.21960328073399</v>
      </c>
      <c r="N543" s="288"/>
      <c r="O543" s="408">
        <f t="shared" si="59"/>
        <v>635.4796889145573</v>
      </c>
      <c r="P543" s="148"/>
      <c r="Q543" s="177"/>
      <c r="R543" s="177"/>
      <c r="S543" s="177"/>
      <c r="T543" s="148"/>
      <c r="U543" s="148"/>
      <c r="V543" s="148"/>
      <c r="W543" s="148"/>
      <c r="X543" s="148"/>
      <c r="Y543" s="148"/>
      <c r="Z543" s="148"/>
      <c r="AA543" s="148"/>
      <c r="AB543" s="148"/>
      <c r="AC543" s="148"/>
      <c r="AD543" s="148"/>
      <c r="AE543" s="148"/>
      <c r="AF543" s="148"/>
      <c r="AG543" s="148"/>
      <c r="AH543" s="148"/>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c r="BI543" s="148"/>
      <c r="BJ543" s="148"/>
      <c r="BK543" s="148"/>
    </row>
    <row r="544" spans="1:63" hidden="1" x14ac:dyDescent="0.25">
      <c r="A544" s="19"/>
      <c r="E544" s="138">
        <f t="shared" si="57"/>
        <v>50131</v>
      </c>
      <c r="F544" s="63">
        <f t="shared" si="56"/>
        <v>2037</v>
      </c>
      <c r="G544" s="124">
        <f t="shared" si="58"/>
        <v>23</v>
      </c>
      <c r="H544" s="19"/>
      <c r="I544" s="407">
        <f t="shared" si="60"/>
        <v>273</v>
      </c>
      <c r="J544" s="177"/>
      <c r="K544" s="177"/>
      <c r="L544" s="177"/>
      <c r="M544" s="288">
        <f>IF(G544&gt;$G$264,"",(SUM(O$269)-SUM(O$271:O543))*(M$269/12))</f>
        <v>248.83655444730442</v>
      </c>
      <c r="N544" s="288"/>
      <c r="O544" s="408">
        <f t="shared" si="59"/>
        <v>637.86273774798678</v>
      </c>
      <c r="P544" s="148"/>
      <c r="Q544" s="177"/>
      <c r="R544" s="177"/>
      <c r="S544" s="177"/>
      <c r="T544" s="148"/>
      <c r="U544" s="148"/>
      <c r="V544" s="148"/>
      <c r="W544" s="148"/>
      <c r="X544" s="148"/>
      <c r="Y544" s="148"/>
      <c r="Z544" s="148"/>
      <c r="AA544" s="148"/>
      <c r="AB544" s="148"/>
      <c r="AC544" s="148"/>
      <c r="AD544" s="148"/>
      <c r="AE544" s="148"/>
      <c r="AF544" s="148"/>
      <c r="AG544" s="148"/>
      <c r="AH544" s="148"/>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c r="BI544" s="148"/>
      <c r="BJ544" s="148"/>
      <c r="BK544" s="148"/>
    </row>
    <row r="545" spans="1:63" hidden="1" x14ac:dyDescent="0.25">
      <c r="A545" s="19"/>
      <c r="E545" s="138">
        <f t="shared" si="57"/>
        <v>50161</v>
      </c>
      <c r="F545" s="63">
        <f t="shared" si="56"/>
        <v>2037</v>
      </c>
      <c r="G545" s="124">
        <f t="shared" si="58"/>
        <v>23</v>
      </c>
      <c r="H545" s="19"/>
      <c r="I545" s="407">
        <f t="shared" si="60"/>
        <v>274</v>
      </c>
      <c r="J545" s="177"/>
      <c r="K545" s="177"/>
      <c r="L545" s="177"/>
      <c r="M545" s="288">
        <f>IF(G545&gt;$G$264,"",(SUM(O$269)-SUM(O$271:O544))*(M$269/12))</f>
        <v>246.44456918074948</v>
      </c>
      <c r="N545" s="288"/>
      <c r="O545" s="408">
        <f t="shared" si="59"/>
        <v>640.25472301454181</v>
      </c>
      <c r="P545" s="148"/>
      <c r="Q545" s="177"/>
      <c r="R545" s="177"/>
      <c r="S545" s="177"/>
      <c r="T545" s="148"/>
      <c r="U545" s="148"/>
      <c r="V545" s="148"/>
      <c r="W545" s="148"/>
      <c r="X545" s="148"/>
      <c r="Y545" s="148"/>
      <c r="Z545" s="148"/>
      <c r="AA545" s="148"/>
      <c r="AB545" s="148"/>
      <c r="AC545" s="148"/>
      <c r="AD545" s="148"/>
      <c r="AE545" s="148"/>
      <c r="AF545" s="148"/>
      <c r="AG545" s="148"/>
      <c r="AH545" s="148"/>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c r="BI545" s="148"/>
      <c r="BJ545" s="148"/>
      <c r="BK545" s="148"/>
    </row>
    <row r="546" spans="1:63" hidden="1" x14ac:dyDescent="0.25">
      <c r="A546" s="19"/>
      <c r="E546" s="138">
        <f t="shared" si="57"/>
        <v>50192</v>
      </c>
      <c r="F546" s="63">
        <f t="shared" si="56"/>
        <v>2037</v>
      </c>
      <c r="G546" s="124">
        <f t="shared" si="58"/>
        <v>23</v>
      </c>
      <c r="H546" s="19"/>
      <c r="I546" s="407">
        <f t="shared" si="60"/>
        <v>275</v>
      </c>
      <c r="J546" s="177"/>
      <c r="K546" s="177"/>
      <c r="L546" s="177"/>
      <c r="M546" s="288">
        <f>IF(G546&gt;$G$264,"",(SUM(O$269)-SUM(O$271:O545))*(M$269/12))</f>
        <v>244.04361396944495</v>
      </c>
      <c r="N546" s="288"/>
      <c r="O546" s="408">
        <f t="shared" si="59"/>
        <v>642.65567822584626</v>
      </c>
      <c r="P546" s="148"/>
      <c r="Q546" s="177"/>
      <c r="R546" s="177"/>
      <c r="S546" s="177"/>
      <c r="T546" s="148"/>
      <c r="U546" s="148"/>
      <c r="V546" s="148"/>
      <c r="W546" s="148"/>
      <c r="X546" s="148"/>
      <c r="Y546" s="148"/>
      <c r="Z546" s="148"/>
      <c r="AA546" s="148"/>
      <c r="AB546" s="148"/>
      <c r="AC546" s="148"/>
      <c r="AD546" s="148"/>
      <c r="AE546" s="148"/>
      <c r="AF546" s="148"/>
      <c r="AG546" s="148"/>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c r="BI546" s="148"/>
      <c r="BJ546" s="148"/>
      <c r="BK546" s="148"/>
    </row>
    <row r="547" spans="1:63" hidden="1" x14ac:dyDescent="0.25">
      <c r="A547" s="19"/>
      <c r="E547" s="138">
        <f t="shared" si="57"/>
        <v>50222</v>
      </c>
      <c r="F547" s="63">
        <f t="shared" si="56"/>
        <v>2037</v>
      </c>
      <c r="G547" s="124">
        <f t="shared" si="58"/>
        <v>23</v>
      </c>
      <c r="H547" s="19"/>
      <c r="I547" s="407">
        <f t="shared" si="60"/>
        <v>276</v>
      </c>
      <c r="J547" s="177"/>
      <c r="K547" s="177"/>
      <c r="L547" s="177"/>
      <c r="M547" s="288">
        <f>IF(G547&gt;$G$264,"",(SUM(O$269)-SUM(O$271:O546))*(M$269/12))</f>
        <v>241.63365517609805</v>
      </c>
      <c r="N547" s="288"/>
      <c r="O547" s="408">
        <f t="shared" si="59"/>
        <v>645.06563701919322</v>
      </c>
      <c r="P547" s="148"/>
      <c r="Q547" s="177"/>
      <c r="R547" s="177"/>
      <c r="S547" s="177"/>
      <c r="T547" s="148"/>
      <c r="U547" s="148"/>
      <c r="V547" s="148"/>
      <c r="W547" s="148"/>
      <c r="X547" s="148"/>
      <c r="Y547" s="148"/>
      <c r="Z547" s="148"/>
      <c r="AA547" s="148"/>
      <c r="AB547" s="148"/>
      <c r="AC547" s="148"/>
      <c r="AD547" s="148"/>
      <c r="AE547" s="148"/>
      <c r="AF547" s="148"/>
      <c r="AG547" s="148"/>
      <c r="AH547" s="148"/>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c r="BI547" s="148"/>
      <c r="BJ547" s="148"/>
      <c r="BK547" s="148"/>
    </row>
    <row r="548" spans="1:63" hidden="1" x14ac:dyDescent="0.25">
      <c r="A548" s="19"/>
      <c r="E548" s="138">
        <f t="shared" si="57"/>
        <v>50253</v>
      </c>
      <c r="F548" s="63">
        <f t="shared" si="56"/>
        <v>2037</v>
      </c>
      <c r="G548" s="124">
        <f t="shared" si="58"/>
        <v>24</v>
      </c>
      <c r="H548" s="19"/>
      <c r="I548" s="407">
        <f t="shared" si="60"/>
        <v>277</v>
      </c>
      <c r="J548" s="177"/>
      <c r="K548" s="177"/>
      <c r="L548" s="177"/>
      <c r="M548" s="288">
        <f>IF(G548&gt;$G$264,"",(SUM(O$269)-SUM(O$271:O547))*(M$269/12))</f>
        <v>239.21465903727611</v>
      </c>
      <c r="N548" s="288"/>
      <c r="O548" s="408">
        <f t="shared" si="59"/>
        <v>647.48463315801519</v>
      </c>
      <c r="P548" s="148"/>
      <c r="Q548" s="177"/>
      <c r="R548" s="177"/>
      <c r="S548" s="177"/>
      <c r="T548" s="148"/>
      <c r="U548" s="148"/>
      <c r="V548" s="148"/>
      <c r="W548" s="148"/>
      <c r="X548" s="148"/>
      <c r="Y548" s="148"/>
      <c r="Z548" s="148"/>
      <c r="AA548" s="148"/>
      <c r="AB548" s="148"/>
      <c r="AC548" s="148"/>
      <c r="AD548" s="148"/>
      <c r="AE548" s="148"/>
      <c r="AF548" s="148"/>
      <c r="AG548" s="148"/>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c r="BI548" s="148"/>
      <c r="BJ548" s="148"/>
      <c r="BK548" s="148"/>
    </row>
    <row r="549" spans="1:63" hidden="1" x14ac:dyDescent="0.25">
      <c r="A549" s="19"/>
      <c r="E549" s="138">
        <f t="shared" si="57"/>
        <v>50284</v>
      </c>
      <c r="F549" s="63">
        <f t="shared" si="56"/>
        <v>2037</v>
      </c>
      <c r="G549" s="124">
        <f t="shared" si="58"/>
        <v>24</v>
      </c>
      <c r="H549" s="19"/>
      <c r="I549" s="407">
        <f t="shared" si="60"/>
        <v>278</v>
      </c>
      <c r="J549" s="177"/>
      <c r="K549" s="177"/>
      <c r="L549" s="177"/>
      <c r="M549" s="288">
        <f>IF(G549&gt;$G$264,"",(SUM(O$269)-SUM(O$271:O548))*(M$269/12))</f>
        <v>236.78659166293352</v>
      </c>
      <c r="N549" s="288"/>
      <c r="O549" s="408">
        <f t="shared" si="59"/>
        <v>649.9127005323578</v>
      </c>
      <c r="P549" s="148"/>
      <c r="Q549" s="177"/>
      <c r="R549" s="177"/>
      <c r="S549" s="177"/>
      <c r="T549" s="148"/>
      <c r="U549" s="148"/>
      <c r="V549" s="148"/>
      <c r="W549" s="148"/>
      <c r="X549" s="148"/>
      <c r="Y549" s="148"/>
      <c r="Z549" s="148"/>
      <c r="AA549" s="148"/>
      <c r="AB549" s="148"/>
      <c r="AC549" s="148"/>
      <c r="AD549" s="148"/>
      <c r="AE549" s="148"/>
      <c r="AF549" s="148"/>
      <c r="AG549" s="148"/>
      <c r="AH549" s="148"/>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c r="BI549" s="148"/>
      <c r="BJ549" s="148"/>
      <c r="BK549" s="148"/>
    </row>
    <row r="550" spans="1:63" hidden="1" x14ac:dyDescent="0.25">
      <c r="A550" s="19"/>
      <c r="E550" s="138">
        <f t="shared" si="57"/>
        <v>50314</v>
      </c>
      <c r="F550" s="63">
        <f t="shared" si="56"/>
        <v>2037</v>
      </c>
      <c r="G550" s="124">
        <f t="shared" si="58"/>
        <v>24</v>
      </c>
      <c r="H550" s="19"/>
      <c r="I550" s="407">
        <f t="shared" si="60"/>
        <v>279</v>
      </c>
      <c r="J550" s="177"/>
      <c r="K550" s="177"/>
      <c r="L550" s="177"/>
      <c r="M550" s="288">
        <f>IF(G550&gt;$G$264,"",(SUM(O$269)-SUM(O$271:O549))*(M$269/12))</f>
        <v>234.34941903593719</v>
      </c>
      <c r="N550" s="288"/>
      <c r="O550" s="408">
        <f t="shared" si="59"/>
        <v>652.34987315935405</v>
      </c>
      <c r="P550" s="148"/>
      <c r="Q550" s="177"/>
      <c r="R550" s="177"/>
      <c r="S550" s="177"/>
      <c r="T550" s="148"/>
      <c r="U550" s="148"/>
      <c r="V550" s="148"/>
      <c r="W550" s="148"/>
      <c r="X550" s="148"/>
      <c r="Y550" s="148"/>
      <c r="Z550" s="148"/>
      <c r="AA550" s="148"/>
      <c r="AB550" s="148"/>
      <c r="AC550" s="148"/>
      <c r="AD550" s="148"/>
      <c r="AE550" s="148"/>
      <c r="AF550" s="148"/>
      <c r="AG550" s="148"/>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c r="BI550" s="148"/>
      <c r="BJ550" s="148"/>
      <c r="BK550" s="148"/>
    </row>
    <row r="551" spans="1:63" hidden="1" x14ac:dyDescent="0.25">
      <c r="A551" s="19"/>
      <c r="E551" s="138">
        <f t="shared" si="57"/>
        <v>50345</v>
      </c>
      <c r="F551" s="63">
        <f t="shared" si="56"/>
        <v>2037</v>
      </c>
      <c r="G551" s="124">
        <f t="shared" si="58"/>
        <v>24</v>
      </c>
      <c r="H551" s="19"/>
      <c r="I551" s="407">
        <f t="shared" si="60"/>
        <v>280</v>
      </c>
      <c r="J551" s="177"/>
      <c r="K551" s="177"/>
      <c r="L551" s="177"/>
      <c r="M551" s="288">
        <f>IF(G551&gt;$G$264,"",(SUM(O$269)-SUM(O$271:O550))*(M$269/12))</f>
        <v>231.90310701158961</v>
      </c>
      <c r="N551" s="288"/>
      <c r="O551" s="408">
        <f t="shared" si="59"/>
        <v>654.79618518370171</v>
      </c>
      <c r="P551" s="148"/>
      <c r="Q551" s="177"/>
      <c r="R551" s="177"/>
      <c r="S551" s="177"/>
      <c r="T551" s="148"/>
      <c r="U551" s="148"/>
      <c r="V551" s="148"/>
      <c r="W551" s="148"/>
      <c r="X551" s="148"/>
      <c r="Y551" s="148"/>
      <c r="Z551" s="148"/>
      <c r="AA551" s="148"/>
      <c r="AB551" s="148"/>
      <c r="AC551" s="148"/>
      <c r="AD551" s="148"/>
      <c r="AE551" s="148"/>
      <c r="AF551" s="148"/>
      <c r="AG551" s="148"/>
      <c r="AH551" s="148"/>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c r="BI551" s="148"/>
      <c r="BJ551" s="148"/>
      <c r="BK551" s="148"/>
    </row>
    <row r="552" spans="1:63" hidden="1" x14ac:dyDescent="0.25">
      <c r="A552" s="19"/>
      <c r="E552" s="138">
        <f t="shared" si="57"/>
        <v>50375</v>
      </c>
      <c r="F552" s="63">
        <f t="shared" si="56"/>
        <v>2037</v>
      </c>
      <c r="G552" s="124">
        <f t="shared" si="58"/>
        <v>24</v>
      </c>
      <c r="H552" s="19"/>
      <c r="I552" s="407">
        <f t="shared" si="60"/>
        <v>281</v>
      </c>
      <c r="J552" s="177"/>
      <c r="K552" s="177"/>
      <c r="L552" s="177"/>
      <c r="M552" s="288">
        <f>IF(G552&gt;$G$264,"",(SUM(O$269)-SUM(O$271:O551))*(M$269/12))</f>
        <v>229.44762131715072</v>
      </c>
      <c r="N552" s="288"/>
      <c r="O552" s="408">
        <f t="shared" si="59"/>
        <v>657.25167087814054</v>
      </c>
      <c r="P552" s="148"/>
      <c r="Q552" s="177"/>
      <c r="R552" s="177"/>
      <c r="S552" s="177"/>
      <c r="T552" s="148"/>
      <c r="U552" s="148"/>
      <c r="V552" s="148"/>
      <c r="W552" s="148"/>
      <c r="X552" s="148"/>
      <c r="Y552" s="148"/>
      <c r="Z552" s="148"/>
      <c r="AA552" s="148"/>
      <c r="AB552" s="148"/>
      <c r="AC552" s="148"/>
      <c r="AD552" s="148"/>
      <c r="AE552" s="148"/>
      <c r="AF552" s="148"/>
      <c r="AG552" s="148"/>
      <c r="AH552" s="148"/>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c r="BI552" s="148"/>
      <c r="BJ552" s="148"/>
      <c r="BK552" s="148"/>
    </row>
    <row r="553" spans="1:63" hidden="1" x14ac:dyDescent="0.25">
      <c r="A553" s="19"/>
      <c r="E553" s="138">
        <f t="shared" si="57"/>
        <v>50406</v>
      </c>
      <c r="F553" s="63">
        <f t="shared" si="56"/>
        <v>2038</v>
      </c>
      <c r="G553" s="124">
        <f t="shared" si="58"/>
        <v>24</v>
      </c>
      <c r="H553" s="19"/>
      <c r="I553" s="407">
        <f t="shared" si="60"/>
        <v>282</v>
      </c>
      <c r="J553" s="177"/>
      <c r="K553" s="177"/>
      <c r="L553" s="177"/>
      <c r="M553" s="288">
        <f>IF(G553&gt;$G$264,"",(SUM(O$269)-SUM(O$271:O552))*(M$269/12))</f>
        <v>226.98292755135768</v>
      </c>
      <c r="N553" s="288"/>
      <c r="O553" s="408">
        <f t="shared" si="59"/>
        <v>659.71636464393362</v>
      </c>
      <c r="P553" s="148"/>
      <c r="Q553" s="177"/>
      <c r="R553" s="177"/>
      <c r="S553" s="177"/>
      <c r="T553" s="148"/>
      <c r="U553" s="148"/>
      <c r="V553" s="148"/>
      <c r="W553" s="148"/>
      <c r="X553" s="148"/>
      <c r="Y553" s="148"/>
      <c r="Z553" s="148"/>
      <c r="AA553" s="148"/>
      <c r="AB553" s="148"/>
      <c r="AC553" s="148"/>
      <c r="AD553" s="148"/>
      <c r="AE553" s="148"/>
      <c r="AF553" s="148"/>
      <c r="AG553" s="148"/>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c r="BI553" s="148"/>
      <c r="BJ553" s="148"/>
      <c r="BK553" s="148"/>
    </row>
    <row r="554" spans="1:63" hidden="1" x14ac:dyDescent="0.25">
      <c r="A554" s="19"/>
      <c r="E554" s="138">
        <f t="shared" si="57"/>
        <v>50437</v>
      </c>
      <c r="F554" s="63">
        <f t="shared" si="56"/>
        <v>2038</v>
      </c>
      <c r="G554" s="124">
        <f t="shared" si="58"/>
        <v>24</v>
      </c>
      <c r="H554" s="19"/>
      <c r="I554" s="407">
        <f t="shared" si="60"/>
        <v>283</v>
      </c>
      <c r="J554" s="177"/>
      <c r="K554" s="177"/>
      <c r="L554" s="177"/>
      <c r="M554" s="288">
        <f>IF(G554&gt;$G$264,"",(SUM(O$269)-SUM(O$271:O553))*(M$269/12))</f>
        <v>224.50899118394292</v>
      </c>
      <c r="N554" s="288"/>
      <c r="O554" s="408">
        <f t="shared" si="59"/>
        <v>662.19030101134831</v>
      </c>
      <c r="P554" s="148"/>
      <c r="Q554" s="177"/>
      <c r="R554" s="177"/>
      <c r="S554" s="177"/>
      <c r="T554" s="148"/>
      <c r="U554" s="148"/>
      <c r="V554" s="148"/>
      <c r="W554" s="148"/>
      <c r="X554" s="148"/>
      <c r="Y554" s="148"/>
      <c r="Z554" s="148"/>
      <c r="AA554" s="148"/>
      <c r="AB554" s="148"/>
      <c r="AC554" s="148"/>
      <c r="AD554" s="148"/>
      <c r="AE554" s="148"/>
      <c r="AF554" s="148"/>
      <c r="AG554" s="148"/>
      <c r="AH554" s="148"/>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c r="BI554" s="148"/>
      <c r="BJ554" s="148"/>
      <c r="BK554" s="148"/>
    </row>
    <row r="555" spans="1:63" hidden="1" x14ac:dyDescent="0.25">
      <c r="A555" s="19"/>
      <c r="E555" s="138">
        <f t="shared" si="57"/>
        <v>50465</v>
      </c>
      <c r="F555" s="63">
        <f t="shared" si="56"/>
        <v>2038</v>
      </c>
      <c r="G555" s="124">
        <f t="shared" si="58"/>
        <v>24</v>
      </c>
      <c r="H555" s="19"/>
      <c r="I555" s="407">
        <f t="shared" si="60"/>
        <v>284</v>
      </c>
      <c r="J555" s="177"/>
      <c r="K555" s="177"/>
      <c r="L555" s="177"/>
      <c r="M555" s="288">
        <f>IF(G555&gt;$G$264,"",(SUM(O$269)-SUM(O$271:O554))*(M$269/12))</f>
        <v>222.0257775551504</v>
      </c>
      <c r="N555" s="288"/>
      <c r="O555" s="408">
        <f t="shared" si="59"/>
        <v>664.67351464014087</v>
      </c>
      <c r="P555" s="148"/>
      <c r="Q555" s="177"/>
      <c r="R555" s="177"/>
      <c r="S555" s="177"/>
      <c r="T555" s="148"/>
      <c r="U555" s="148"/>
      <c r="V555" s="148"/>
      <c r="W555" s="148"/>
      <c r="X555" s="148"/>
      <c r="Y555" s="148"/>
      <c r="Z555" s="148"/>
      <c r="AA555" s="148"/>
      <c r="AB555" s="148"/>
      <c r="AC555" s="148"/>
      <c r="AD555" s="148"/>
      <c r="AE555" s="148"/>
      <c r="AF555" s="148"/>
      <c r="AG555" s="148"/>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c r="BI555" s="148"/>
      <c r="BJ555" s="148"/>
      <c r="BK555" s="148"/>
    </row>
    <row r="556" spans="1:63" hidden="1" x14ac:dyDescent="0.25">
      <c r="A556" s="19"/>
      <c r="E556" s="138">
        <f t="shared" si="57"/>
        <v>50496</v>
      </c>
      <c r="F556" s="63">
        <f t="shared" si="56"/>
        <v>2038</v>
      </c>
      <c r="G556" s="124">
        <f t="shared" si="58"/>
        <v>24</v>
      </c>
      <c r="H556" s="19"/>
      <c r="I556" s="407">
        <f t="shared" si="60"/>
        <v>285</v>
      </c>
      <c r="J556" s="177"/>
      <c r="K556" s="177"/>
      <c r="L556" s="177"/>
      <c r="M556" s="288">
        <f>IF(G556&gt;$G$264,"",(SUM(O$269)-SUM(O$271:O555))*(M$269/12))</f>
        <v>219.53325187524985</v>
      </c>
      <c r="N556" s="288"/>
      <c r="O556" s="408">
        <f t="shared" si="59"/>
        <v>667.16604032004147</v>
      </c>
      <c r="P556" s="148"/>
      <c r="Q556" s="177"/>
      <c r="R556" s="177"/>
      <c r="S556" s="177"/>
      <c r="T556" s="148"/>
      <c r="U556" s="148"/>
      <c r="V556" s="148"/>
      <c r="W556" s="148"/>
      <c r="X556" s="148"/>
      <c r="Y556" s="148"/>
      <c r="Z556" s="148"/>
      <c r="AA556" s="148"/>
      <c r="AB556" s="148"/>
      <c r="AC556" s="148"/>
      <c r="AD556" s="148"/>
      <c r="AE556" s="148"/>
      <c r="AF556" s="148"/>
      <c r="AG556" s="148"/>
      <c r="AH556" s="148"/>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c r="BI556" s="148"/>
      <c r="BJ556" s="148"/>
      <c r="BK556" s="148"/>
    </row>
    <row r="557" spans="1:63" hidden="1" x14ac:dyDescent="0.25">
      <c r="A557" s="19"/>
      <c r="E557" s="138">
        <f t="shared" si="57"/>
        <v>50526</v>
      </c>
      <c r="F557" s="63">
        <f t="shared" si="56"/>
        <v>2038</v>
      </c>
      <c r="G557" s="124">
        <f t="shared" si="58"/>
        <v>24</v>
      </c>
      <c r="H557" s="19"/>
      <c r="I557" s="407">
        <f t="shared" si="60"/>
        <v>286</v>
      </c>
      <c r="J557" s="177"/>
      <c r="K557" s="177"/>
      <c r="L557" s="177"/>
      <c r="M557" s="288">
        <f>IF(G557&gt;$G$264,"",(SUM(O$269)-SUM(O$271:O556))*(M$269/12))</f>
        <v>217.03137922404969</v>
      </c>
      <c r="N557" s="288"/>
      <c r="O557" s="408">
        <f t="shared" si="59"/>
        <v>669.66791297124155</v>
      </c>
      <c r="P557" s="148"/>
      <c r="Q557" s="177"/>
      <c r="R557" s="177"/>
      <c r="S557" s="177"/>
      <c r="T557" s="148"/>
      <c r="U557" s="148"/>
      <c r="V557" s="148"/>
      <c r="W557" s="148"/>
      <c r="X557" s="148"/>
      <c r="Y557" s="148"/>
      <c r="Z557" s="148"/>
      <c r="AA557" s="148"/>
      <c r="AB557" s="148"/>
      <c r="AC557" s="148"/>
      <c r="AD557" s="148"/>
      <c r="AE557" s="148"/>
      <c r="AF557" s="148"/>
      <c r="AG557" s="148"/>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c r="BI557" s="148"/>
      <c r="BJ557" s="148"/>
      <c r="BK557" s="148"/>
    </row>
    <row r="558" spans="1:63" hidden="1" x14ac:dyDescent="0.25">
      <c r="A558" s="19"/>
      <c r="E558" s="138">
        <f t="shared" si="57"/>
        <v>50557</v>
      </c>
      <c r="F558" s="63">
        <f t="shared" si="56"/>
        <v>2038</v>
      </c>
      <c r="G558" s="124">
        <f t="shared" si="58"/>
        <v>24</v>
      </c>
      <c r="H558" s="19"/>
      <c r="I558" s="407">
        <f t="shared" si="60"/>
        <v>287</v>
      </c>
      <c r="J558" s="177"/>
      <c r="K558" s="177"/>
      <c r="L558" s="177"/>
      <c r="M558" s="288">
        <f>IF(G558&gt;$G$264,"",(SUM(O$269)-SUM(O$271:O557))*(M$269/12))</f>
        <v>214.52012455040753</v>
      </c>
      <c r="N558" s="288"/>
      <c r="O558" s="408">
        <f t="shared" si="59"/>
        <v>672.17916764488371</v>
      </c>
      <c r="P558" s="148"/>
      <c r="Q558" s="177"/>
      <c r="R558" s="177"/>
      <c r="S558" s="177"/>
      <c r="T558" s="148"/>
      <c r="U558" s="148"/>
      <c r="V558" s="148"/>
      <c r="W558" s="148"/>
      <c r="X558" s="148"/>
      <c r="Y558" s="148"/>
      <c r="Z558" s="148"/>
      <c r="AA558" s="148"/>
      <c r="AB558" s="148"/>
      <c r="AC558" s="148"/>
      <c r="AD558" s="148"/>
      <c r="AE558" s="148"/>
      <c r="AF558" s="148"/>
      <c r="AG558" s="148"/>
      <c r="AH558" s="148"/>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c r="BI558" s="148"/>
      <c r="BJ558" s="148"/>
      <c r="BK558" s="148"/>
    </row>
    <row r="559" spans="1:63" hidden="1" x14ac:dyDescent="0.25">
      <c r="A559" s="19"/>
      <c r="E559" s="138">
        <f t="shared" si="57"/>
        <v>50587</v>
      </c>
      <c r="F559" s="63">
        <f t="shared" si="56"/>
        <v>2038</v>
      </c>
      <c r="G559" s="124">
        <f t="shared" si="58"/>
        <v>24</v>
      </c>
      <c r="H559" s="19"/>
      <c r="I559" s="407">
        <f t="shared" si="60"/>
        <v>288</v>
      </c>
      <c r="J559" s="177"/>
      <c r="K559" s="177"/>
      <c r="L559" s="177"/>
      <c r="M559" s="288">
        <f>IF(G559&gt;$G$264,"",(SUM(O$269)-SUM(O$271:O558))*(M$269/12))</f>
        <v>211.99945267173925</v>
      </c>
      <c r="N559" s="288"/>
      <c r="O559" s="408">
        <f t="shared" si="59"/>
        <v>674.69983952355199</v>
      </c>
      <c r="P559" s="148"/>
      <c r="Q559" s="177"/>
      <c r="R559" s="177"/>
      <c r="S559" s="177"/>
      <c r="T559" s="148"/>
      <c r="U559" s="148"/>
      <c r="V559" s="148"/>
      <c r="W559" s="148"/>
      <c r="X559" s="148"/>
      <c r="Y559" s="148"/>
      <c r="Z559" s="148"/>
      <c r="AA559" s="148"/>
      <c r="AB559" s="148"/>
      <c r="AC559" s="148"/>
      <c r="AD559" s="148"/>
      <c r="AE559" s="148"/>
      <c r="AF559" s="148"/>
      <c r="AG559" s="148"/>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c r="BI559" s="148"/>
      <c r="BJ559" s="148"/>
      <c r="BK559" s="148"/>
    </row>
    <row r="560" spans="1:63" hidden="1" x14ac:dyDescent="0.25">
      <c r="A560" s="19"/>
      <c r="E560" s="138">
        <f t="shared" si="57"/>
        <v>50618</v>
      </c>
      <c r="F560" s="63">
        <f t="shared" si="56"/>
        <v>2038</v>
      </c>
      <c r="G560" s="124">
        <f t="shared" si="58"/>
        <v>25</v>
      </c>
      <c r="H560" s="19"/>
      <c r="I560" s="407">
        <f t="shared" si="60"/>
        <v>289</v>
      </c>
      <c r="J560" s="177"/>
      <c r="K560" s="177"/>
      <c r="L560" s="177"/>
      <c r="M560" s="288">
        <f>IF(G560&gt;$G$264,"",(SUM(O$269)-SUM(O$271:O559))*(M$269/12))</f>
        <v>209.46932827352592</v>
      </c>
      <c r="N560" s="288"/>
      <c r="O560" s="408">
        <f t="shared" si="59"/>
        <v>677.22996392176537</v>
      </c>
      <c r="P560" s="148"/>
      <c r="Q560" s="177"/>
      <c r="R560" s="177"/>
      <c r="S560" s="177"/>
      <c r="T560" s="148"/>
      <c r="U560" s="148"/>
      <c r="V560" s="148"/>
      <c r="W560" s="148"/>
      <c r="X560" s="148"/>
      <c r="Y560" s="148"/>
      <c r="Z560" s="148"/>
      <c r="AA560" s="148"/>
      <c r="AB560" s="148"/>
      <c r="AC560" s="148"/>
      <c r="AD560" s="148"/>
      <c r="AE560" s="148"/>
      <c r="AF560" s="148"/>
      <c r="AG560" s="148"/>
      <c r="AH560" s="148"/>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c r="BI560" s="148"/>
      <c r="BJ560" s="148"/>
      <c r="BK560" s="148"/>
    </row>
    <row r="561" spans="1:63" hidden="1" x14ac:dyDescent="0.25">
      <c r="A561" s="19"/>
      <c r="E561" s="138">
        <f t="shared" si="57"/>
        <v>50649</v>
      </c>
      <c r="F561" s="63">
        <f t="shared" si="56"/>
        <v>2038</v>
      </c>
      <c r="G561" s="124">
        <f t="shared" si="58"/>
        <v>25</v>
      </c>
      <c r="H561" s="19"/>
      <c r="I561" s="407">
        <f t="shared" si="60"/>
        <v>290</v>
      </c>
      <c r="J561" s="177"/>
      <c r="K561" s="177"/>
      <c r="L561" s="177"/>
      <c r="M561" s="288">
        <f>IF(G561&gt;$G$264,"",(SUM(O$269)-SUM(O$271:O560))*(M$269/12))</f>
        <v>206.92971590881928</v>
      </c>
      <c r="N561" s="288"/>
      <c r="O561" s="408">
        <f t="shared" si="59"/>
        <v>679.76957628647199</v>
      </c>
      <c r="P561" s="148"/>
      <c r="Q561" s="177"/>
      <c r="R561" s="177"/>
      <c r="S561" s="177"/>
      <c r="T561" s="148"/>
      <c r="U561" s="148"/>
      <c r="V561" s="148"/>
      <c r="W561" s="148"/>
      <c r="X561" s="148"/>
      <c r="Y561" s="148"/>
      <c r="Z561" s="148"/>
      <c r="AA561" s="148"/>
      <c r="AB561" s="148"/>
      <c r="AC561" s="148"/>
      <c r="AD561" s="148"/>
      <c r="AE561" s="148"/>
      <c r="AF561" s="148"/>
      <c r="AG561" s="148"/>
      <c r="AH561" s="148"/>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c r="BI561" s="148"/>
      <c r="BJ561" s="148"/>
      <c r="BK561" s="148"/>
    </row>
    <row r="562" spans="1:63" hidden="1" x14ac:dyDescent="0.25">
      <c r="A562" s="19"/>
      <c r="E562" s="138">
        <f t="shared" si="57"/>
        <v>50679</v>
      </c>
      <c r="F562" s="63">
        <f t="shared" si="56"/>
        <v>2038</v>
      </c>
      <c r="G562" s="124">
        <f t="shared" si="58"/>
        <v>25</v>
      </c>
      <c r="H562" s="19"/>
      <c r="I562" s="407">
        <f t="shared" si="60"/>
        <v>291</v>
      </c>
      <c r="J562" s="177"/>
      <c r="K562" s="177"/>
      <c r="L562" s="177"/>
      <c r="M562" s="288">
        <f>IF(G562&gt;$G$264,"",(SUM(O$269)-SUM(O$271:O561))*(M$269/12))</f>
        <v>204.380579997745</v>
      </c>
      <c r="N562" s="288"/>
      <c r="O562" s="408">
        <f t="shared" si="59"/>
        <v>682.31871219754623</v>
      </c>
      <c r="P562" s="148"/>
      <c r="Q562" s="177"/>
      <c r="R562" s="177"/>
      <c r="S562" s="177"/>
      <c r="T562" s="148"/>
      <c r="U562" s="148"/>
      <c r="V562" s="148"/>
      <c r="W562" s="148"/>
      <c r="X562" s="148"/>
      <c r="Y562" s="148"/>
      <c r="Z562" s="148"/>
      <c r="AA562" s="148"/>
      <c r="AB562" s="148"/>
      <c r="AC562" s="148"/>
      <c r="AD562" s="148"/>
      <c r="AE562" s="148"/>
      <c r="AF562" s="148"/>
      <c r="AG562" s="148"/>
      <c r="AH562" s="148"/>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c r="BI562" s="148"/>
      <c r="BJ562" s="148"/>
      <c r="BK562" s="148"/>
    </row>
    <row r="563" spans="1:63" hidden="1" x14ac:dyDescent="0.25">
      <c r="A563" s="19"/>
      <c r="E563" s="138">
        <f t="shared" si="57"/>
        <v>50710</v>
      </c>
      <c r="F563" s="63">
        <f t="shared" si="56"/>
        <v>2038</v>
      </c>
      <c r="G563" s="124">
        <f t="shared" si="58"/>
        <v>25</v>
      </c>
      <c r="H563" s="19"/>
      <c r="I563" s="407">
        <f t="shared" si="60"/>
        <v>292</v>
      </c>
      <c r="J563" s="177"/>
      <c r="K563" s="177"/>
      <c r="L563" s="177"/>
      <c r="M563" s="288">
        <f>IF(G563&gt;$G$264,"",(SUM(O$269)-SUM(O$271:O562))*(M$269/12))</f>
        <v>201.8218848270042</v>
      </c>
      <c r="N563" s="288"/>
      <c r="O563" s="408">
        <f t="shared" si="59"/>
        <v>684.87740736828709</v>
      </c>
      <c r="P563" s="148"/>
      <c r="Q563" s="177"/>
      <c r="R563" s="177"/>
      <c r="S563" s="177"/>
      <c r="T563" s="148"/>
      <c r="U563" s="148"/>
      <c r="V563" s="148"/>
      <c r="W563" s="148"/>
      <c r="X563" s="148"/>
      <c r="Y563" s="148"/>
      <c r="Z563" s="148"/>
      <c r="AA563" s="148"/>
      <c r="AB563" s="148"/>
      <c r="AC563" s="148"/>
      <c r="AD563" s="148"/>
      <c r="AE563" s="148"/>
      <c r="AF563" s="148"/>
      <c r="AG563" s="148"/>
      <c r="AH563" s="148"/>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c r="BI563" s="148"/>
      <c r="BJ563" s="148"/>
      <c r="BK563" s="148"/>
    </row>
    <row r="564" spans="1:63" hidden="1" x14ac:dyDescent="0.25">
      <c r="A564" s="19"/>
      <c r="E564" s="138">
        <f t="shared" si="57"/>
        <v>50740</v>
      </c>
      <c r="F564" s="63">
        <f t="shared" si="56"/>
        <v>2038</v>
      </c>
      <c r="G564" s="124">
        <f t="shared" si="58"/>
        <v>25</v>
      </c>
      <c r="H564" s="19"/>
      <c r="I564" s="407">
        <f t="shared" si="60"/>
        <v>293</v>
      </c>
      <c r="J564" s="177"/>
      <c r="K564" s="177"/>
      <c r="L564" s="177"/>
      <c r="M564" s="288">
        <f>IF(G564&gt;$G$264,"",(SUM(O$269)-SUM(O$271:O563))*(M$269/12))</f>
        <v>199.2535945493731</v>
      </c>
      <c r="N564" s="288"/>
      <c r="O564" s="408">
        <f t="shared" si="59"/>
        <v>687.44569764591813</v>
      </c>
      <c r="P564" s="148"/>
      <c r="Q564" s="177"/>
      <c r="R564" s="177"/>
      <c r="S564" s="177"/>
      <c r="T564" s="148"/>
      <c r="U564" s="148"/>
      <c r="V564" s="148"/>
      <c r="W564" s="148"/>
      <c r="X564" s="148"/>
      <c r="Y564" s="148"/>
      <c r="Z564" s="148"/>
      <c r="AA564" s="148"/>
      <c r="AB564" s="148"/>
      <c r="AC564" s="148"/>
      <c r="AD564" s="148"/>
      <c r="AE564" s="148"/>
      <c r="AF564" s="148"/>
      <c r="AG564" s="148"/>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c r="BI564" s="148"/>
      <c r="BJ564" s="148"/>
      <c r="BK564" s="148"/>
    </row>
    <row r="565" spans="1:63" hidden="1" x14ac:dyDescent="0.25">
      <c r="A565" s="19"/>
      <c r="E565" s="138">
        <f t="shared" si="57"/>
        <v>50771</v>
      </c>
      <c r="F565" s="63">
        <f t="shared" si="56"/>
        <v>2039</v>
      </c>
      <c r="G565" s="124">
        <f t="shared" si="58"/>
        <v>25</v>
      </c>
      <c r="H565" s="19"/>
      <c r="I565" s="407">
        <f t="shared" si="60"/>
        <v>294</v>
      </c>
      <c r="J565" s="177"/>
      <c r="K565" s="177"/>
      <c r="L565" s="177"/>
      <c r="M565" s="288">
        <f>IF(G565&gt;$G$264,"",(SUM(O$269)-SUM(O$271:O564))*(M$269/12))</f>
        <v>196.67567318320093</v>
      </c>
      <c r="N565" s="288"/>
      <c r="O565" s="408">
        <f t="shared" si="59"/>
        <v>690.02361901209031</v>
      </c>
      <c r="P565" s="148"/>
      <c r="Q565" s="177"/>
      <c r="R565" s="177"/>
      <c r="S565" s="177"/>
      <c r="T565" s="148"/>
      <c r="U565" s="148"/>
      <c r="V565" s="148"/>
      <c r="W565" s="148"/>
      <c r="X565" s="148"/>
      <c r="Y565" s="148"/>
      <c r="Z565" s="148"/>
      <c r="AA565" s="148"/>
      <c r="AB565" s="148"/>
      <c r="AC565" s="148"/>
      <c r="AD565" s="148"/>
      <c r="AE565" s="148"/>
      <c r="AF565" s="148"/>
      <c r="AG565" s="148"/>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c r="BI565" s="148"/>
      <c r="BJ565" s="148"/>
      <c r="BK565" s="148"/>
    </row>
    <row r="566" spans="1:63" hidden="1" x14ac:dyDescent="0.25">
      <c r="A566" s="19"/>
      <c r="E566" s="138">
        <f t="shared" si="57"/>
        <v>50802</v>
      </c>
      <c r="F566" s="63">
        <f t="shared" si="56"/>
        <v>2039</v>
      </c>
      <c r="G566" s="124">
        <f t="shared" si="58"/>
        <v>25</v>
      </c>
      <c r="H566" s="19"/>
      <c r="I566" s="407">
        <f t="shared" si="60"/>
        <v>295</v>
      </c>
      <c r="J566" s="177"/>
      <c r="K566" s="177"/>
      <c r="L566" s="177"/>
      <c r="M566" s="288">
        <f>IF(G566&gt;$G$264,"",(SUM(O$269)-SUM(O$271:O565))*(M$269/12))</f>
        <v>194.08808461190557</v>
      </c>
      <c r="N566" s="288"/>
      <c r="O566" s="408">
        <f t="shared" si="59"/>
        <v>692.61120758338575</v>
      </c>
      <c r="P566" s="148"/>
      <c r="Q566" s="177"/>
      <c r="R566" s="177"/>
      <c r="S566" s="177"/>
      <c r="T566" s="148"/>
      <c r="U566" s="148"/>
      <c r="V566" s="148"/>
      <c r="W566" s="148"/>
      <c r="X566" s="148"/>
      <c r="Y566" s="148"/>
      <c r="Z566" s="148"/>
      <c r="AA566" s="148"/>
      <c r="AB566" s="148"/>
      <c r="AC566" s="148"/>
      <c r="AD566" s="148"/>
      <c r="AE566" s="148"/>
      <c r="AF566" s="148"/>
      <c r="AG566" s="148"/>
      <c r="AH566" s="148"/>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c r="BI566" s="148"/>
      <c r="BJ566" s="148"/>
      <c r="BK566" s="148"/>
    </row>
    <row r="567" spans="1:63" hidden="1" x14ac:dyDescent="0.25">
      <c r="A567" s="19"/>
      <c r="E567" s="138">
        <f t="shared" si="57"/>
        <v>50830</v>
      </c>
      <c r="F567" s="63">
        <f t="shared" si="56"/>
        <v>2039</v>
      </c>
      <c r="G567" s="124">
        <f t="shared" si="58"/>
        <v>25</v>
      </c>
      <c r="H567" s="19"/>
      <c r="I567" s="407">
        <f t="shared" si="60"/>
        <v>296</v>
      </c>
      <c r="J567" s="177"/>
      <c r="K567" s="177"/>
      <c r="L567" s="177"/>
      <c r="M567" s="288">
        <f>IF(G567&gt;$G$264,"",(SUM(O$269)-SUM(O$271:O566))*(M$269/12))</f>
        <v>191.49079258346791</v>
      </c>
      <c r="N567" s="288"/>
      <c r="O567" s="408">
        <f t="shared" si="59"/>
        <v>695.2084996118233</v>
      </c>
      <c r="P567" s="148"/>
      <c r="Q567" s="177"/>
      <c r="R567" s="177"/>
      <c r="S567" s="177"/>
      <c r="T567" s="148"/>
      <c r="U567" s="148"/>
      <c r="V567" s="148"/>
      <c r="W567" s="148"/>
      <c r="X567" s="148"/>
      <c r="Y567" s="148"/>
      <c r="Z567" s="148"/>
      <c r="AA567" s="148"/>
      <c r="AB567" s="148"/>
      <c r="AC567" s="148"/>
      <c r="AD567" s="148"/>
      <c r="AE567" s="148"/>
      <c r="AF567" s="148"/>
      <c r="AG567" s="148"/>
      <c r="AH567" s="148"/>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c r="BI567" s="148"/>
      <c r="BJ567" s="148"/>
      <c r="BK567" s="148"/>
    </row>
    <row r="568" spans="1:63" hidden="1" x14ac:dyDescent="0.25">
      <c r="A568" s="19"/>
      <c r="E568" s="138">
        <f t="shared" si="57"/>
        <v>50861</v>
      </c>
      <c r="F568" s="63">
        <f t="shared" si="56"/>
        <v>2039</v>
      </c>
      <c r="G568" s="124">
        <f t="shared" si="58"/>
        <v>25</v>
      </c>
      <c r="H568" s="19"/>
      <c r="I568" s="407">
        <f t="shared" si="60"/>
        <v>297</v>
      </c>
      <c r="J568" s="177"/>
      <c r="K568" s="177"/>
      <c r="L568" s="177"/>
      <c r="M568" s="288">
        <f>IF(G568&gt;$G$264,"",(SUM(O$269)-SUM(O$271:O567))*(M$269/12))</f>
        <v>188.88376070992356</v>
      </c>
      <c r="N568" s="288"/>
      <c r="O568" s="408">
        <f t="shared" si="59"/>
        <v>697.81553148536773</v>
      </c>
      <c r="P568" s="148"/>
      <c r="Q568" s="177"/>
      <c r="R568" s="177"/>
      <c r="S568" s="177"/>
      <c r="T568" s="148"/>
      <c r="U568" s="148"/>
      <c r="V568" s="148"/>
      <c r="W568" s="148"/>
      <c r="X568" s="148"/>
      <c r="Y568" s="148"/>
      <c r="Z568" s="148"/>
      <c r="AA568" s="148"/>
      <c r="AB568" s="148"/>
      <c r="AC568" s="148"/>
      <c r="AD568" s="148"/>
      <c r="AE568" s="148"/>
      <c r="AF568" s="148"/>
      <c r="AG568" s="148"/>
      <c r="AH568" s="148"/>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c r="BI568" s="148"/>
      <c r="BJ568" s="148"/>
      <c r="BK568" s="148"/>
    </row>
    <row r="569" spans="1:63" hidden="1" x14ac:dyDescent="0.25">
      <c r="A569" s="19"/>
      <c r="E569" s="138">
        <f t="shared" si="57"/>
        <v>50891</v>
      </c>
      <c r="F569" s="63">
        <f t="shared" si="56"/>
        <v>2039</v>
      </c>
      <c r="G569" s="124">
        <f t="shared" si="58"/>
        <v>25</v>
      </c>
      <c r="H569" s="19"/>
      <c r="I569" s="407">
        <f t="shared" si="60"/>
        <v>298</v>
      </c>
      <c r="J569" s="177"/>
      <c r="K569" s="177"/>
      <c r="L569" s="177"/>
      <c r="M569" s="288">
        <f>IF(G569&gt;$G$264,"",(SUM(O$269)-SUM(O$271:O568))*(M$269/12))</f>
        <v>186.26695246685344</v>
      </c>
      <c r="N569" s="288"/>
      <c r="O569" s="408">
        <f t="shared" si="59"/>
        <v>700.4323397284378</v>
      </c>
      <c r="P569" s="148"/>
      <c r="Q569" s="177"/>
      <c r="R569" s="177"/>
      <c r="S569" s="177"/>
      <c r="T569" s="148"/>
      <c r="U569" s="148"/>
      <c r="V569" s="148"/>
      <c r="W569" s="148"/>
      <c r="X569" s="148"/>
      <c r="Y569" s="148"/>
      <c r="Z569" s="148"/>
      <c r="AA569" s="148"/>
      <c r="AB569" s="148"/>
      <c r="AC569" s="148"/>
      <c r="AD569" s="148"/>
      <c r="AE569" s="148"/>
      <c r="AF569" s="148"/>
      <c r="AG569" s="148"/>
      <c r="AH569" s="148"/>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c r="BI569" s="148"/>
      <c r="BJ569" s="148"/>
      <c r="BK569" s="148"/>
    </row>
    <row r="570" spans="1:63" hidden="1" x14ac:dyDescent="0.25">
      <c r="A570" s="19"/>
      <c r="E570" s="138">
        <f t="shared" si="57"/>
        <v>50922</v>
      </c>
      <c r="F570" s="63">
        <f t="shared" si="56"/>
        <v>2039</v>
      </c>
      <c r="G570" s="124">
        <f t="shared" si="58"/>
        <v>25</v>
      </c>
      <c r="H570" s="19"/>
      <c r="I570" s="407">
        <f t="shared" si="60"/>
        <v>299</v>
      </c>
      <c r="J570" s="177"/>
      <c r="K570" s="177"/>
      <c r="L570" s="177"/>
      <c r="M570" s="288">
        <f>IF(G570&gt;$G$264,"",(SUM(O$269)-SUM(O$271:O569))*(M$269/12))</f>
        <v>183.64033119287183</v>
      </c>
      <c r="N570" s="288"/>
      <c r="O570" s="408">
        <f t="shared" si="59"/>
        <v>703.05896100241944</v>
      </c>
      <c r="P570" s="148"/>
      <c r="Q570" s="177"/>
      <c r="R570" s="177"/>
      <c r="S570" s="177"/>
      <c r="T570" s="148"/>
      <c r="U570" s="148"/>
      <c r="V570" s="148"/>
      <c r="W570" s="148"/>
      <c r="X570" s="148"/>
      <c r="Y570" s="148"/>
      <c r="Z570" s="148"/>
      <c r="AA570" s="148"/>
      <c r="AB570" s="148"/>
      <c r="AC570" s="148"/>
      <c r="AD570" s="148"/>
      <c r="AE570" s="148"/>
      <c r="AF570" s="148"/>
      <c r="AG570" s="148"/>
      <c r="AH570" s="148"/>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c r="BI570" s="148"/>
      <c r="BJ570" s="148"/>
      <c r="BK570" s="148"/>
    </row>
    <row r="571" spans="1:63" hidden="1" x14ac:dyDescent="0.25">
      <c r="A571" s="19"/>
      <c r="E571" s="138">
        <f t="shared" si="57"/>
        <v>50952</v>
      </c>
      <c r="F571" s="63">
        <f t="shared" si="56"/>
        <v>2039</v>
      </c>
      <c r="G571" s="124">
        <f t="shared" si="58"/>
        <v>25</v>
      </c>
      <c r="H571" s="19"/>
      <c r="I571" s="407">
        <f t="shared" si="60"/>
        <v>300</v>
      </c>
      <c r="J571" s="177"/>
      <c r="K571" s="177"/>
      <c r="L571" s="177"/>
      <c r="M571" s="288">
        <f>IF(G571&gt;$G$264,"",(SUM(O$269)-SUM(O$271:O570))*(M$269/12))</f>
        <v>181.00386008911275</v>
      </c>
      <c r="N571" s="288"/>
      <c r="O571" s="408">
        <f t="shared" si="59"/>
        <v>705.69543210617849</v>
      </c>
      <c r="P571" s="148"/>
      <c r="Q571" s="177"/>
      <c r="R571" s="177"/>
      <c r="S571" s="177"/>
      <c r="T571" s="148"/>
      <c r="U571" s="148"/>
      <c r="V571" s="148"/>
      <c r="W571" s="148"/>
      <c r="X571" s="148"/>
      <c r="Y571" s="148"/>
      <c r="Z571" s="148"/>
      <c r="AA571" s="148"/>
      <c r="AB571" s="148"/>
      <c r="AC571" s="148"/>
      <c r="AD571" s="148"/>
      <c r="AE571" s="148"/>
      <c r="AF571" s="148"/>
      <c r="AG571" s="148"/>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c r="BI571" s="148"/>
      <c r="BJ571" s="148"/>
      <c r="BK571" s="148"/>
    </row>
    <row r="572" spans="1:63" hidden="1" x14ac:dyDescent="0.25">
      <c r="A572" s="19"/>
      <c r="E572" s="138">
        <f t="shared" si="57"/>
        <v>50983</v>
      </c>
      <c r="F572" s="63">
        <f t="shared" si="56"/>
        <v>2039</v>
      </c>
      <c r="G572" s="124">
        <f t="shared" si="58"/>
        <v>26</v>
      </c>
      <c r="H572" s="19"/>
      <c r="I572" s="407">
        <f t="shared" si="60"/>
        <v>301</v>
      </c>
      <c r="J572" s="177"/>
      <c r="K572" s="177"/>
      <c r="L572" s="177"/>
      <c r="M572" s="288">
        <f>IF(G572&gt;$G$264,"",(SUM(O$269)-SUM(O$271:O571))*(M$269/12))</f>
        <v>178.35750221871459</v>
      </c>
      <c r="N572" s="288"/>
      <c r="O572" s="408">
        <f t="shared" si="59"/>
        <v>708.34178997657671</v>
      </c>
      <c r="P572" s="148"/>
      <c r="Q572" s="177"/>
      <c r="R572" s="177"/>
      <c r="S572" s="177"/>
      <c r="T572" s="148"/>
      <c r="U572" s="148"/>
      <c r="V572" s="148"/>
      <c r="W572" s="148"/>
      <c r="X572" s="148"/>
      <c r="Y572" s="148"/>
      <c r="Z572" s="148"/>
      <c r="AA572" s="148"/>
      <c r="AB572" s="148"/>
      <c r="AC572" s="148"/>
      <c r="AD572" s="148"/>
      <c r="AE572" s="148"/>
      <c r="AF572" s="148"/>
      <c r="AG572" s="148"/>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c r="BI572" s="148"/>
      <c r="BJ572" s="148"/>
      <c r="BK572" s="148"/>
    </row>
    <row r="573" spans="1:63" hidden="1" x14ac:dyDescent="0.25">
      <c r="A573" s="19"/>
      <c r="E573" s="138">
        <f t="shared" si="57"/>
        <v>51014</v>
      </c>
      <c r="F573" s="63">
        <f t="shared" si="56"/>
        <v>2039</v>
      </c>
      <c r="G573" s="124">
        <f t="shared" si="58"/>
        <v>26</v>
      </c>
      <c r="H573" s="19"/>
      <c r="I573" s="407">
        <f t="shared" si="60"/>
        <v>302</v>
      </c>
      <c r="J573" s="177"/>
      <c r="K573" s="177"/>
      <c r="L573" s="177"/>
      <c r="M573" s="288">
        <f>IF(G573&gt;$G$264,"",(SUM(O$269)-SUM(O$271:O572))*(M$269/12))</f>
        <v>175.70122050630243</v>
      </c>
      <c r="N573" s="288"/>
      <c r="O573" s="408">
        <f t="shared" si="59"/>
        <v>710.99807168898883</v>
      </c>
      <c r="P573" s="148"/>
      <c r="Q573" s="177"/>
      <c r="R573" s="177"/>
      <c r="S573" s="177"/>
      <c r="T573" s="148"/>
      <c r="U573" s="148"/>
      <c r="V573" s="148"/>
      <c r="W573" s="148"/>
      <c r="X573" s="148"/>
      <c r="Y573" s="148"/>
      <c r="Z573" s="148"/>
      <c r="AA573" s="148"/>
      <c r="AB573" s="148"/>
      <c r="AC573" s="148"/>
      <c r="AD573" s="148"/>
      <c r="AE573" s="148"/>
      <c r="AF573" s="148"/>
      <c r="AG573" s="148"/>
      <c r="AH573" s="148"/>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c r="BI573" s="148"/>
      <c r="BJ573" s="148"/>
      <c r="BK573" s="148"/>
    </row>
    <row r="574" spans="1:63" hidden="1" x14ac:dyDescent="0.25">
      <c r="A574" s="19"/>
      <c r="E574" s="138">
        <f t="shared" si="57"/>
        <v>51044</v>
      </c>
      <c r="F574" s="63">
        <f t="shared" si="56"/>
        <v>2039</v>
      </c>
      <c r="G574" s="124">
        <f t="shared" si="58"/>
        <v>26</v>
      </c>
      <c r="H574" s="19"/>
      <c r="I574" s="407">
        <f t="shared" si="60"/>
        <v>303</v>
      </c>
      <c r="J574" s="177"/>
      <c r="K574" s="177"/>
      <c r="L574" s="177"/>
      <c r="M574" s="288">
        <f>IF(G574&gt;$G$264,"",(SUM(O$269)-SUM(O$271:O573))*(M$269/12))</f>
        <v>173.03497773746875</v>
      </c>
      <c r="N574" s="288"/>
      <c r="O574" s="408">
        <f t="shared" si="59"/>
        <v>713.66431445782246</v>
      </c>
      <c r="P574" s="148"/>
      <c r="Q574" s="177"/>
      <c r="R574" s="177"/>
      <c r="S574" s="177"/>
      <c r="T574" s="148"/>
      <c r="U574" s="148"/>
      <c r="V574" s="148"/>
      <c r="W574" s="148"/>
      <c r="X574" s="148"/>
      <c r="Y574" s="148"/>
      <c r="Z574" s="148"/>
      <c r="AA574" s="148"/>
      <c r="AB574" s="148"/>
      <c r="AC574" s="148"/>
      <c r="AD574" s="148"/>
      <c r="AE574" s="148"/>
      <c r="AF574" s="148"/>
      <c r="AG574" s="148"/>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c r="BI574" s="148"/>
      <c r="BJ574" s="148"/>
      <c r="BK574" s="148"/>
    </row>
    <row r="575" spans="1:63" hidden="1" x14ac:dyDescent="0.25">
      <c r="A575" s="19"/>
      <c r="E575" s="138">
        <f t="shared" si="57"/>
        <v>51075</v>
      </c>
      <c r="F575" s="63">
        <f t="shared" si="56"/>
        <v>2039</v>
      </c>
      <c r="G575" s="124">
        <f t="shared" si="58"/>
        <v>26</v>
      </c>
      <c r="H575" s="19"/>
      <c r="I575" s="407">
        <f t="shared" si="60"/>
        <v>304</v>
      </c>
      <c r="J575" s="177"/>
      <c r="K575" s="177"/>
      <c r="L575" s="177"/>
      <c r="M575" s="288">
        <f>IF(G575&gt;$G$264,"",(SUM(O$269)-SUM(O$271:O574))*(M$269/12))</f>
        <v>170.35873655825188</v>
      </c>
      <c r="N575" s="288"/>
      <c r="O575" s="408">
        <f t="shared" si="59"/>
        <v>716.34055563703942</v>
      </c>
      <c r="P575" s="148"/>
      <c r="Q575" s="177"/>
      <c r="R575" s="177"/>
      <c r="S575" s="177"/>
      <c r="T575" s="148"/>
      <c r="U575" s="148"/>
      <c r="V575" s="148"/>
      <c r="W575" s="148"/>
      <c r="X575" s="148"/>
      <c r="Y575" s="148"/>
      <c r="Z575" s="148"/>
      <c r="AA575" s="148"/>
      <c r="AB575" s="148"/>
      <c r="AC575" s="148"/>
      <c r="AD575" s="148"/>
      <c r="AE575" s="148"/>
      <c r="AF575" s="148"/>
      <c r="AG575" s="148"/>
      <c r="AH575" s="148"/>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c r="BI575" s="148"/>
      <c r="BJ575" s="148"/>
      <c r="BK575" s="148"/>
    </row>
    <row r="576" spans="1:63" hidden="1" x14ac:dyDescent="0.25">
      <c r="A576" s="19"/>
      <c r="E576" s="138">
        <f t="shared" si="57"/>
        <v>51105</v>
      </c>
      <c r="F576" s="63">
        <f t="shared" si="56"/>
        <v>2039</v>
      </c>
      <c r="G576" s="124">
        <f t="shared" si="58"/>
        <v>26</v>
      </c>
      <c r="H576" s="19"/>
      <c r="I576" s="407">
        <f t="shared" si="60"/>
        <v>305</v>
      </c>
      <c r="J576" s="177"/>
      <c r="K576" s="177"/>
      <c r="L576" s="177"/>
      <c r="M576" s="288">
        <f>IF(G576&gt;$G$264,"",(SUM(O$269)-SUM(O$271:O575))*(M$269/12))</f>
        <v>167.67245947461299</v>
      </c>
      <c r="N576" s="288"/>
      <c r="O576" s="408">
        <f t="shared" si="59"/>
        <v>719.02683272067827</v>
      </c>
      <c r="P576" s="148"/>
      <c r="Q576" s="177"/>
      <c r="R576" s="177"/>
      <c r="S576" s="177"/>
      <c r="T576" s="148"/>
      <c r="U576" s="148"/>
      <c r="V576" s="148"/>
      <c r="W576" s="148"/>
      <c r="X576" s="148"/>
      <c r="Y576" s="148"/>
      <c r="Z576" s="148"/>
      <c r="AA576" s="148"/>
      <c r="AB576" s="148"/>
      <c r="AC576" s="148"/>
      <c r="AD576" s="148"/>
      <c r="AE576" s="148"/>
      <c r="AF576" s="148"/>
      <c r="AG576" s="148"/>
      <c r="AH576" s="148"/>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c r="BI576" s="148"/>
      <c r="BJ576" s="148"/>
      <c r="BK576" s="148"/>
    </row>
    <row r="577" spans="1:63" hidden="1" x14ac:dyDescent="0.25">
      <c r="A577" s="19"/>
      <c r="E577" s="138">
        <f t="shared" si="57"/>
        <v>51136</v>
      </c>
      <c r="F577" s="63">
        <f t="shared" si="56"/>
        <v>2040</v>
      </c>
      <c r="G577" s="124">
        <f t="shared" si="58"/>
        <v>26</v>
      </c>
      <c r="H577" s="19"/>
      <c r="I577" s="407">
        <f t="shared" si="60"/>
        <v>306</v>
      </c>
      <c r="J577" s="177"/>
      <c r="K577" s="177"/>
      <c r="L577" s="177"/>
      <c r="M577" s="288">
        <f>IF(G577&gt;$G$264,"",(SUM(O$269)-SUM(O$271:O576))*(M$269/12))</f>
        <v>164.97610885191045</v>
      </c>
      <c r="N577" s="288"/>
      <c r="O577" s="408">
        <f t="shared" si="59"/>
        <v>721.72318334338081</v>
      </c>
      <c r="P577" s="148"/>
      <c r="Q577" s="177"/>
      <c r="R577" s="177"/>
      <c r="S577" s="177"/>
      <c r="T577" s="148"/>
      <c r="U577" s="148"/>
      <c r="V577" s="148"/>
      <c r="W577" s="148"/>
      <c r="X577" s="148"/>
      <c r="Y577" s="148"/>
      <c r="Z577" s="148"/>
      <c r="AA577" s="148"/>
      <c r="AB577" s="148"/>
      <c r="AC577" s="148"/>
      <c r="AD577" s="148"/>
      <c r="AE577" s="148"/>
      <c r="AF577" s="148"/>
      <c r="AG577" s="148"/>
      <c r="AH577" s="148"/>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c r="BI577" s="148"/>
      <c r="BJ577" s="148"/>
      <c r="BK577" s="148"/>
    </row>
    <row r="578" spans="1:63" hidden="1" x14ac:dyDescent="0.25">
      <c r="A578" s="19"/>
      <c r="E578" s="138">
        <f t="shared" si="57"/>
        <v>51167</v>
      </c>
      <c r="F578" s="63">
        <f t="shared" si="56"/>
        <v>2040</v>
      </c>
      <c r="G578" s="124">
        <f t="shared" si="58"/>
        <v>26</v>
      </c>
      <c r="H578" s="19"/>
      <c r="I578" s="407">
        <f t="shared" si="60"/>
        <v>307</v>
      </c>
      <c r="J578" s="177"/>
      <c r="K578" s="177"/>
      <c r="L578" s="177"/>
      <c r="M578" s="288">
        <f>IF(G578&gt;$G$264,"",(SUM(O$269)-SUM(O$271:O577))*(M$269/12))</f>
        <v>162.26964691437274</v>
      </c>
      <c r="N578" s="288"/>
      <c r="O578" s="408">
        <f t="shared" si="59"/>
        <v>724.42964528091852</v>
      </c>
      <c r="P578" s="148"/>
      <c r="Q578" s="177"/>
      <c r="R578" s="177"/>
      <c r="S578" s="177"/>
      <c r="T578" s="148"/>
      <c r="U578" s="148"/>
      <c r="V578" s="148"/>
      <c r="W578" s="148"/>
      <c r="X578" s="148"/>
      <c r="Y578" s="148"/>
      <c r="Z578" s="148"/>
      <c r="AA578" s="148"/>
      <c r="AB578" s="148"/>
      <c r="AC578" s="148"/>
      <c r="AD578" s="148"/>
      <c r="AE578" s="148"/>
      <c r="AF578" s="148"/>
      <c r="AG578" s="148"/>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c r="BI578" s="148"/>
      <c r="BJ578" s="148"/>
      <c r="BK578" s="148"/>
    </row>
    <row r="579" spans="1:63" hidden="1" x14ac:dyDescent="0.25">
      <c r="A579" s="19"/>
      <c r="E579" s="138">
        <f t="shared" si="57"/>
        <v>51196</v>
      </c>
      <c r="F579" s="63">
        <f t="shared" si="56"/>
        <v>2040</v>
      </c>
      <c r="G579" s="124">
        <f t="shared" si="58"/>
        <v>26</v>
      </c>
      <c r="H579" s="19"/>
      <c r="I579" s="407">
        <f t="shared" si="60"/>
        <v>308</v>
      </c>
      <c r="J579" s="177"/>
      <c r="K579" s="177"/>
      <c r="L579" s="177"/>
      <c r="M579" s="288">
        <f>IF(G579&gt;$G$264,"",(SUM(O$269)-SUM(O$271:O578))*(M$269/12))</f>
        <v>159.55303574456934</v>
      </c>
      <c r="N579" s="288"/>
      <c r="O579" s="408">
        <f t="shared" si="59"/>
        <v>727.14625645072192</v>
      </c>
      <c r="P579" s="148"/>
      <c r="Q579" s="177"/>
      <c r="R579" s="177"/>
      <c r="S579" s="177"/>
      <c r="T579" s="148"/>
      <c r="U579" s="148"/>
      <c r="V579" s="148"/>
      <c r="W579" s="148"/>
      <c r="X579" s="148"/>
      <c r="Y579" s="148"/>
      <c r="Z579" s="148"/>
      <c r="AA579" s="148"/>
      <c r="AB579" s="148"/>
      <c r="AC579" s="148"/>
      <c r="AD579" s="148"/>
      <c r="AE579" s="148"/>
      <c r="AF579" s="148"/>
      <c r="AG579" s="148"/>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c r="BI579" s="148"/>
      <c r="BJ579" s="148"/>
      <c r="BK579" s="148"/>
    </row>
    <row r="580" spans="1:63" hidden="1" x14ac:dyDescent="0.25">
      <c r="A580" s="19"/>
      <c r="E580" s="138">
        <f t="shared" si="57"/>
        <v>51227</v>
      </c>
      <c r="F580" s="63">
        <f t="shared" si="56"/>
        <v>2040</v>
      </c>
      <c r="G580" s="124">
        <f t="shared" si="58"/>
        <v>26</v>
      </c>
      <c r="H580" s="19"/>
      <c r="I580" s="407">
        <f t="shared" si="60"/>
        <v>309</v>
      </c>
      <c r="J580" s="177"/>
      <c r="K580" s="177"/>
      <c r="L580" s="177"/>
      <c r="M580" s="288">
        <f>IF(G580&gt;$G$264,"",(SUM(O$269)-SUM(O$271:O579))*(M$269/12))</f>
        <v>156.82623728287919</v>
      </c>
      <c r="N580" s="288"/>
      <c r="O580" s="408">
        <f t="shared" si="59"/>
        <v>729.87305491241204</v>
      </c>
      <c r="P580" s="148"/>
      <c r="Q580" s="177"/>
      <c r="R580" s="177"/>
      <c r="S580" s="177"/>
      <c r="T580" s="148"/>
      <c r="U580" s="148"/>
      <c r="V580" s="148"/>
      <c r="W580" s="148"/>
      <c r="X580" s="148"/>
      <c r="Y580" s="148"/>
      <c r="Z580" s="148"/>
      <c r="AA580" s="148"/>
      <c r="AB580" s="148"/>
      <c r="AC580" s="148"/>
      <c r="AD580" s="148"/>
      <c r="AE580" s="148"/>
      <c r="AF580" s="148"/>
      <c r="AG580" s="148"/>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c r="BI580" s="148"/>
      <c r="BJ580" s="148"/>
      <c r="BK580" s="148"/>
    </row>
    <row r="581" spans="1:63" hidden="1" x14ac:dyDescent="0.25">
      <c r="A581" s="19"/>
      <c r="E581" s="138">
        <f t="shared" si="57"/>
        <v>51257</v>
      </c>
      <c r="F581" s="63">
        <f t="shared" ref="F581:F631" si="61">IF(M581="","",YEAR(E581))</f>
        <v>2040</v>
      </c>
      <c r="G581" s="124">
        <f t="shared" si="58"/>
        <v>26</v>
      </c>
      <c r="H581" s="19"/>
      <c r="I581" s="407">
        <f t="shared" si="60"/>
        <v>310</v>
      </c>
      <c r="J581" s="177"/>
      <c r="K581" s="177"/>
      <c r="L581" s="177"/>
      <c r="M581" s="288">
        <f>IF(G581&gt;$G$264,"",(SUM(O$269)-SUM(O$271:O580))*(M$269/12))</f>
        <v>154.08921332695769</v>
      </c>
      <c r="N581" s="288"/>
      <c r="O581" s="408">
        <f t="shared" si="59"/>
        <v>732.61007886833363</v>
      </c>
      <c r="P581" s="148"/>
      <c r="Q581" s="177"/>
      <c r="R581" s="177"/>
      <c r="S581" s="177"/>
      <c r="T581" s="148"/>
      <c r="U581" s="148"/>
      <c r="V581" s="148"/>
      <c r="W581" s="148"/>
      <c r="X581" s="148"/>
      <c r="Y581" s="148"/>
      <c r="Z581" s="148"/>
      <c r="AA581" s="148"/>
      <c r="AB581" s="148"/>
      <c r="AC581" s="148"/>
      <c r="AD581" s="148"/>
      <c r="AE581" s="148"/>
      <c r="AF581" s="148"/>
      <c r="AG581" s="148"/>
      <c r="AH581" s="148"/>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c r="BI581" s="148"/>
      <c r="BJ581" s="148"/>
      <c r="BK581" s="148"/>
    </row>
    <row r="582" spans="1:63" hidden="1" x14ac:dyDescent="0.25">
      <c r="A582" s="19"/>
      <c r="E582" s="138">
        <f t="shared" si="57"/>
        <v>51288</v>
      </c>
      <c r="F582" s="63">
        <f t="shared" si="61"/>
        <v>2040</v>
      </c>
      <c r="G582" s="124">
        <f t="shared" si="58"/>
        <v>26</v>
      </c>
      <c r="H582" s="19"/>
      <c r="I582" s="407">
        <f t="shared" si="60"/>
        <v>311</v>
      </c>
      <c r="J582" s="177"/>
      <c r="K582" s="177"/>
      <c r="L582" s="177"/>
      <c r="M582" s="288">
        <f>IF(G582&gt;$G$264,"",(SUM(O$269)-SUM(O$271:O581))*(M$269/12))</f>
        <v>151.34192553120141</v>
      </c>
      <c r="N582" s="288"/>
      <c r="O582" s="408">
        <f t="shared" si="59"/>
        <v>735.3573666640898</v>
      </c>
      <c r="P582" s="148"/>
      <c r="Q582" s="177"/>
      <c r="R582" s="177"/>
      <c r="S582" s="177"/>
      <c r="T582" s="148"/>
      <c r="U582" s="148"/>
      <c r="V582" s="148"/>
      <c r="W582" s="148"/>
      <c r="X582" s="148"/>
      <c r="Y582" s="148"/>
      <c r="Z582" s="148"/>
      <c r="AA582" s="148"/>
      <c r="AB582" s="148"/>
      <c r="AC582" s="148"/>
      <c r="AD582" s="148"/>
      <c r="AE582" s="148"/>
      <c r="AF582" s="148"/>
      <c r="AG582" s="148"/>
      <c r="AH582" s="148"/>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c r="BI582" s="148"/>
      <c r="BJ582" s="148"/>
      <c r="BK582" s="148"/>
    </row>
    <row r="583" spans="1:63" hidden="1" x14ac:dyDescent="0.25">
      <c r="A583" s="19"/>
      <c r="E583" s="138">
        <f t="shared" si="57"/>
        <v>51318</v>
      </c>
      <c r="F583" s="63">
        <f t="shared" si="61"/>
        <v>2040</v>
      </c>
      <c r="G583" s="124">
        <f t="shared" si="58"/>
        <v>26</v>
      </c>
      <c r="H583" s="19"/>
      <c r="I583" s="407">
        <f t="shared" si="60"/>
        <v>312</v>
      </c>
      <c r="J583" s="177"/>
      <c r="K583" s="177"/>
      <c r="L583" s="177"/>
      <c r="M583" s="288">
        <f>IF(G583&gt;$G$264,"",(SUM(O$269)-SUM(O$271:O582))*(M$269/12))</f>
        <v>148.58433540621101</v>
      </c>
      <c r="N583" s="288"/>
      <c r="O583" s="408">
        <f t="shared" si="59"/>
        <v>738.11495678908022</v>
      </c>
      <c r="P583" s="148"/>
      <c r="Q583" s="177"/>
      <c r="R583" s="177"/>
      <c r="S583" s="177"/>
      <c r="T583" s="148"/>
      <c r="U583" s="148"/>
      <c r="V583" s="148"/>
      <c r="W583" s="148"/>
      <c r="X583" s="148"/>
      <c r="Y583" s="148"/>
      <c r="Z583" s="148"/>
      <c r="AA583" s="148"/>
      <c r="AB583" s="148"/>
      <c r="AC583" s="148"/>
      <c r="AD583" s="148"/>
      <c r="AE583" s="148"/>
      <c r="AF583" s="148"/>
      <c r="AG583" s="148"/>
      <c r="AH583" s="148"/>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c r="BI583" s="148"/>
      <c r="BJ583" s="148"/>
      <c r="BK583" s="148"/>
    </row>
    <row r="584" spans="1:63" hidden="1" x14ac:dyDescent="0.25">
      <c r="A584" s="19"/>
      <c r="E584" s="138">
        <f t="shared" si="57"/>
        <v>51349</v>
      </c>
      <c r="F584" s="63">
        <f t="shared" si="61"/>
        <v>2040</v>
      </c>
      <c r="G584" s="124">
        <f t="shared" si="58"/>
        <v>27</v>
      </c>
      <c r="H584" s="19"/>
      <c r="I584" s="407">
        <f t="shared" si="60"/>
        <v>313</v>
      </c>
      <c r="J584" s="177"/>
      <c r="K584" s="177"/>
      <c r="L584" s="177"/>
      <c r="M584" s="288">
        <f>IF(G584&gt;$G$264,"",(SUM(O$269)-SUM(O$271:O583))*(M$269/12))</f>
        <v>145.81640431825201</v>
      </c>
      <c r="N584" s="288"/>
      <c r="O584" s="408">
        <f t="shared" si="59"/>
        <v>740.88288787703925</v>
      </c>
      <c r="P584" s="148"/>
      <c r="Q584" s="177"/>
      <c r="R584" s="177"/>
      <c r="S584" s="177"/>
      <c r="T584" s="148"/>
      <c r="U584" s="148"/>
      <c r="V584" s="148"/>
      <c r="W584" s="148"/>
      <c r="X584" s="148"/>
      <c r="Y584" s="148"/>
      <c r="Z584" s="148"/>
      <c r="AA584" s="148"/>
      <c r="AB584" s="148"/>
      <c r="AC584" s="148"/>
      <c r="AD584" s="148"/>
      <c r="AE584" s="148"/>
      <c r="AF584" s="148"/>
      <c r="AG584" s="148"/>
      <c r="AH584" s="148"/>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c r="BI584" s="148"/>
      <c r="BJ584" s="148"/>
      <c r="BK584" s="148"/>
    </row>
    <row r="585" spans="1:63" hidden="1" x14ac:dyDescent="0.25">
      <c r="A585" s="19"/>
      <c r="E585" s="138">
        <f t="shared" si="57"/>
        <v>51380</v>
      </c>
      <c r="F585" s="63">
        <f t="shared" si="61"/>
        <v>2040</v>
      </c>
      <c r="G585" s="124">
        <f t="shared" si="58"/>
        <v>27</v>
      </c>
      <c r="H585" s="19"/>
      <c r="I585" s="407">
        <f t="shared" si="60"/>
        <v>314</v>
      </c>
      <c r="J585" s="177"/>
      <c r="K585" s="177"/>
      <c r="L585" s="177"/>
      <c r="M585" s="288">
        <f>IF(G585&gt;$G$264,"",(SUM(O$269)-SUM(O$271:O584))*(M$269/12))</f>
        <v>143.03809348871317</v>
      </c>
      <c r="N585" s="288"/>
      <c r="O585" s="408">
        <f t="shared" si="59"/>
        <v>743.66119870657803</v>
      </c>
      <c r="P585" s="148"/>
      <c r="Q585" s="177"/>
      <c r="R585" s="177"/>
      <c r="S585" s="177"/>
      <c r="T585" s="148"/>
      <c r="U585" s="148"/>
      <c r="V585" s="148"/>
      <c r="W585" s="148"/>
      <c r="X585" s="148"/>
      <c r="Y585" s="148"/>
      <c r="Z585" s="148"/>
      <c r="AA585" s="148"/>
      <c r="AB585" s="148"/>
      <c r="AC585" s="148"/>
      <c r="AD585" s="148"/>
      <c r="AE585" s="148"/>
      <c r="AF585" s="148"/>
      <c r="AG585" s="148"/>
      <c r="AH585" s="148"/>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c r="BI585" s="148"/>
      <c r="BJ585" s="148"/>
      <c r="BK585" s="148"/>
    </row>
    <row r="586" spans="1:63" hidden="1" x14ac:dyDescent="0.25">
      <c r="A586" s="19"/>
      <c r="E586" s="138">
        <f t="shared" si="57"/>
        <v>51410</v>
      </c>
      <c r="F586" s="63">
        <f t="shared" si="61"/>
        <v>2040</v>
      </c>
      <c r="G586" s="124">
        <f t="shared" si="58"/>
        <v>27</v>
      </c>
      <c r="H586" s="19"/>
      <c r="I586" s="407">
        <f t="shared" si="60"/>
        <v>315</v>
      </c>
      <c r="J586" s="177"/>
      <c r="K586" s="177"/>
      <c r="L586" s="177"/>
      <c r="M586" s="288">
        <f>IF(G586&gt;$G$264,"",(SUM(O$269)-SUM(O$271:O585))*(M$269/12))</f>
        <v>140.24936399356352</v>
      </c>
      <c r="N586" s="288"/>
      <c r="O586" s="408">
        <f t="shared" si="59"/>
        <v>746.44992820172774</v>
      </c>
      <c r="P586" s="148"/>
      <c r="Q586" s="177"/>
      <c r="R586" s="177"/>
      <c r="S586" s="177"/>
      <c r="T586" s="148"/>
      <c r="U586" s="148"/>
      <c r="V586" s="148"/>
      <c r="W586" s="148"/>
      <c r="X586" s="148"/>
      <c r="Y586" s="148"/>
      <c r="Z586" s="148"/>
      <c r="AA586" s="148"/>
      <c r="AB586" s="148"/>
      <c r="AC586" s="148"/>
      <c r="AD586" s="148"/>
      <c r="AE586" s="148"/>
      <c r="AF586" s="148"/>
      <c r="AG586" s="148"/>
      <c r="AH586" s="148"/>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c r="BI586" s="148"/>
      <c r="BJ586" s="148"/>
      <c r="BK586" s="148"/>
    </row>
    <row r="587" spans="1:63" hidden="1" x14ac:dyDescent="0.25">
      <c r="A587" s="19"/>
      <c r="E587" s="138">
        <f t="shared" si="57"/>
        <v>51441</v>
      </c>
      <c r="F587" s="63">
        <f t="shared" si="61"/>
        <v>2040</v>
      </c>
      <c r="G587" s="124">
        <f t="shared" si="58"/>
        <v>27</v>
      </c>
      <c r="H587" s="19"/>
      <c r="I587" s="407">
        <f t="shared" si="60"/>
        <v>316</v>
      </c>
      <c r="J587" s="177"/>
      <c r="K587" s="177"/>
      <c r="L587" s="177"/>
      <c r="M587" s="288">
        <f>IF(G587&gt;$G$264,"",(SUM(O$269)-SUM(O$271:O586))*(M$269/12))</f>
        <v>137.45017676280702</v>
      </c>
      <c r="N587" s="288"/>
      <c r="O587" s="408">
        <f t="shared" si="59"/>
        <v>749.24911543248425</v>
      </c>
      <c r="P587" s="148"/>
      <c r="Q587" s="177"/>
      <c r="R587" s="177"/>
      <c r="S587" s="177"/>
      <c r="T587" s="148"/>
      <c r="U587" s="148"/>
      <c r="V587" s="148"/>
      <c r="W587" s="148"/>
      <c r="X587" s="148"/>
      <c r="Y587" s="148"/>
      <c r="Z587" s="148"/>
      <c r="AA587" s="148"/>
      <c r="AB587" s="148"/>
      <c r="AC587" s="148"/>
      <c r="AD587" s="148"/>
      <c r="AE587" s="148"/>
      <c r="AF587" s="148"/>
      <c r="AG587" s="148"/>
      <c r="AH587" s="148"/>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c r="BI587" s="148"/>
      <c r="BJ587" s="148"/>
      <c r="BK587" s="148"/>
    </row>
    <row r="588" spans="1:63" hidden="1" x14ac:dyDescent="0.25">
      <c r="A588" s="19"/>
      <c r="E588" s="138">
        <f t="shared" si="57"/>
        <v>51471</v>
      </c>
      <c r="F588" s="63">
        <f t="shared" si="61"/>
        <v>2040</v>
      </c>
      <c r="G588" s="124">
        <f t="shared" si="58"/>
        <v>27</v>
      </c>
      <c r="H588" s="19"/>
      <c r="I588" s="407">
        <f t="shared" si="60"/>
        <v>317</v>
      </c>
      <c r="J588" s="177"/>
      <c r="K588" s="177"/>
      <c r="L588" s="177"/>
      <c r="M588" s="288">
        <f>IF(G588&gt;$G$264,"",(SUM(O$269)-SUM(O$271:O587))*(M$269/12))</f>
        <v>134.64049257993517</v>
      </c>
      <c r="N588" s="288"/>
      <c r="O588" s="408">
        <f t="shared" si="59"/>
        <v>752.05879961535607</v>
      </c>
      <c r="P588" s="148"/>
      <c r="Q588" s="177"/>
      <c r="R588" s="177"/>
      <c r="S588" s="177"/>
      <c r="T588" s="148"/>
      <c r="U588" s="148"/>
      <c r="V588" s="148"/>
      <c r="W588" s="148"/>
      <c r="X588" s="148"/>
      <c r="Y588" s="148"/>
      <c r="Z588" s="148"/>
      <c r="AA588" s="148"/>
      <c r="AB588" s="148"/>
      <c r="AC588" s="148"/>
      <c r="AD588" s="148"/>
      <c r="AE588" s="148"/>
      <c r="AF588" s="148"/>
      <c r="AG588" s="148"/>
      <c r="AH588" s="148"/>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c r="BI588" s="148"/>
      <c r="BJ588" s="148"/>
      <c r="BK588" s="148"/>
    </row>
    <row r="589" spans="1:63" hidden="1" x14ac:dyDescent="0.25">
      <c r="A589" s="19"/>
      <c r="E589" s="138">
        <f t="shared" si="57"/>
        <v>51502</v>
      </c>
      <c r="F589" s="63">
        <f t="shared" si="61"/>
        <v>2041</v>
      </c>
      <c r="G589" s="124">
        <f t="shared" si="58"/>
        <v>27</v>
      </c>
      <c r="H589" s="19"/>
      <c r="I589" s="407">
        <f t="shared" si="60"/>
        <v>318</v>
      </c>
      <c r="J589" s="177"/>
      <c r="K589" s="177"/>
      <c r="L589" s="177"/>
      <c r="M589" s="288">
        <f>IF(G589&gt;$G$264,"",(SUM(O$269)-SUM(O$271:O588))*(M$269/12))</f>
        <v>131.82027208137754</v>
      </c>
      <c r="N589" s="288"/>
      <c r="O589" s="408">
        <f t="shared" si="59"/>
        <v>754.87902011391373</v>
      </c>
      <c r="P589" s="148"/>
      <c r="Q589" s="177"/>
      <c r="R589" s="177"/>
      <c r="S589" s="177"/>
      <c r="T589" s="148"/>
      <c r="U589" s="148"/>
      <c r="V589" s="148"/>
      <c r="W589" s="148"/>
      <c r="X589" s="148"/>
      <c r="Y589" s="148"/>
      <c r="Z589" s="148"/>
      <c r="AA589" s="148"/>
      <c r="AB589" s="148"/>
      <c r="AC589" s="148"/>
      <c r="AD589" s="148"/>
      <c r="AE589" s="148"/>
      <c r="AF589" s="148"/>
      <c r="AG589" s="148"/>
      <c r="AH589" s="148"/>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c r="BI589" s="148"/>
      <c r="BJ589" s="148"/>
      <c r="BK589" s="148"/>
    </row>
    <row r="590" spans="1:63" hidden="1" x14ac:dyDescent="0.25">
      <c r="A590" s="19"/>
      <c r="E590" s="138">
        <f t="shared" si="57"/>
        <v>51533</v>
      </c>
      <c r="F590" s="63">
        <f t="shared" si="61"/>
        <v>2041</v>
      </c>
      <c r="G590" s="124">
        <f t="shared" si="58"/>
        <v>27</v>
      </c>
      <c r="H590" s="19"/>
      <c r="I590" s="407">
        <f t="shared" si="60"/>
        <v>319</v>
      </c>
      <c r="J590" s="177"/>
      <c r="K590" s="177"/>
      <c r="L590" s="177"/>
      <c r="M590" s="288">
        <f>IF(G590&gt;$G$264,"",(SUM(O$269)-SUM(O$271:O589))*(M$269/12))</f>
        <v>128.98947575595039</v>
      </c>
      <c r="N590" s="288"/>
      <c r="O590" s="408">
        <f t="shared" si="59"/>
        <v>757.7098164393409</v>
      </c>
      <c r="P590" s="148"/>
      <c r="Q590" s="177"/>
      <c r="R590" s="177"/>
      <c r="S590" s="177"/>
      <c r="T590" s="148"/>
      <c r="U590" s="148"/>
      <c r="V590" s="148"/>
      <c r="W590" s="148"/>
      <c r="X590" s="148"/>
      <c r="Y590" s="148"/>
      <c r="Z590" s="148"/>
      <c r="AA590" s="148"/>
      <c r="AB590" s="148"/>
      <c r="AC590" s="148"/>
      <c r="AD590" s="148"/>
      <c r="AE590" s="148"/>
      <c r="AF590" s="148"/>
      <c r="AG590" s="148"/>
      <c r="AH590" s="148"/>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c r="BI590" s="148"/>
      <c r="BJ590" s="148"/>
      <c r="BK590" s="148"/>
    </row>
    <row r="591" spans="1:63" hidden="1" x14ac:dyDescent="0.25">
      <c r="A591" s="19"/>
      <c r="E591" s="138">
        <f t="shared" si="57"/>
        <v>51561</v>
      </c>
      <c r="F591" s="63">
        <f t="shared" si="61"/>
        <v>2041</v>
      </c>
      <c r="G591" s="124">
        <f t="shared" si="58"/>
        <v>27</v>
      </c>
      <c r="H591" s="19"/>
      <c r="I591" s="407">
        <f t="shared" si="60"/>
        <v>320</v>
      </c>
      <c r="J591" s="177"/>
      <c r="K591" s="177"/>
      <c r="L591" s="177"/>
      <c r="M591" s="288">
        <f>IF(G591&gt;$G$264,"",(SUM(O$269)-SUM(O$271:O590))*(M$269/12))</f>
        <v>126.14806394430288</v>
      </c>
      <c r="N591" s="288"/>
      <c r="O591" s="408">
        <f t="shared" si="59"/>
        <v>760.5512282509884</v>
      </c>
      <c r="P591" s="148"/>
      <c r="Q591" s="177"/>
      <c r="R591" s="177"/>
      <c r="S591" s="177"/>
      <c r="T591" s="148"/>
      <c r="U591" s="148"/>
      <c r="V591" s="148"/>
      <c r="W591" s="148"/>
      <c r="X591" s="148"/>
      <c r="Y591" s="148"/>
      <c r="Z591" s="148"/>
      <c r="AA591" s="148"/>
      <c r="AB591" s="148"/>
      <c r="AC591" s="148"/>
      <c r="AD591" s="148"/>
      <c r="AE591" s="148"/>
      <c r="AF591" s="148"/>
      <c r="AG591" s="148"/>
      <c r="AH591" s="148"/>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c r="BI591" s="148"/>
      <c r="BJ591" s="148"/>
      <c r="BK591" s="148"/>
    </row>
    <row r="592" spans="1:63" hidden="1" x14ac:dyDescent="0.25">
      <c r="A592" s="19"/>
      <c r="E592" s="138">
        <f t="shared" si="57"/>
        <v>51592</v>
      </c>
      <c r="F592" s="63">
        <f t="shared" si="61"/>
        <v>2041</v>
      </c>
      <c r="G592" s="124">
        <f t="shared" si="58"/>
        <v>27</v>
      </c>
      <c r="H592" s="19"/>
      <c r="I592" s="407">
        <f t="shared" si="60"/>
        <v>321</v>
      </c>
      <c r="J592" s="177"/>
      <c r="K592" s="177"/>
      <c r="L592" s="177"/>
      <c r="M592" s="288">
        <f>IF(G592&gt;$G$264,"",(SUM(O$269)-SUM(O$271:O591))*(M$269/12))</f>
        <v>123.29599683836167</v>
      </c>
      <c r="N592" s="288"/>
      <c r="O592" s="408">
        <f t="shared" si="59"/>
        <v>763.40329535692956</v>
      </c>
      <c r="P592" s="148"/>
      <c r="Q592" s="177"/>
      <c r="R592" s="177"/>
      <c r="S592" s="177"/>
      <c r="T592" s="148"/>
      <c r="U592" s="148"/>
      <c r="V592" s="148"/>
      <c r="W592" s="148"/>
      <c r="X592" s="148"/>
      <c r="Y592" s="148"/>
      <c r="Z592" s="148"/>
      <c r="AA592" s="148"/>
      <c r="AB592" s="148"/>
      <c r="AC592" s="148"/>
      <c r="AD592" s="148"/>
      <c r="AE592" s="148"/>
      <c r="AF592" s="148"/>
      <c r="AG592" s="148"/>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c r="BI592" s="148"/>
      <c r="BJ592" s="148"/>
      <c r="BK592" s="148"/>
    </row>
    <row r="593" spans="1:63" hidden="1" x14ac:dyDescent="0.25">
      <c r="A593" s="19"/>
      <c r="E593" s="138">
        <f t="shared" ref="E593:E631" si="62">EDATE(E592,1)</f>
        <v>51622</v>
      </c>
      <c r="F593" s="63">
        <f t="shared" si="61"/>
        <v>2041</v>
      </c>
      <c r="G593" s="124">
        <f t="shared" ref="G593:G631" si="63">ROUNDUP(I593/12,0)</f>
        <v>27</v>
      </c>
      <c r="H593" s="19"/>
      <c r="I593" s="407">
        <f t="shared" si="60"/>
        <v>322</v>
      </c>
      <c r="J593" s="177"/>
      <c r="K593" s="177"/>
      <c r="L593" s="177"/>
      <c r="M593" s="288">
        <f>IF(G593&gt;$G$264,"",(SUM(O$269)-SUM(O$271:O592))*(M$269/12))</f>
        <v>120.43323448077321</v>
      </c>
      <c r="N593" s="288"/>
      <c r="O593" s="408">
        <f t="shared" ref="O593:O631" si="64">IF(M593="","",M$270-M593)</f>
        <v>766.26605771451807</v>
      </c>
      <c r="P593" s="148"/>
      <c r="Q593" s="177"/>
      <c r="R593" s="177"/>
      <c r="S593" s="177"/>
      <c r="T593" s="148"/>
      <c r="U593" s="148"/>
      <c r="V593" s="148"/>
      <c r="W593" s="148"/>
      <c r="X593" s="148"/>
      <c r="Y593" s="148"/>
      <c r="Z593" s="148"/>
      <c r="AA593" s="148"/>
      <c r="AB593" s="148"/>
      <c r="AC593" s="148"/>
      <c r="AD593" s="148"/>
      <c r="AE593" s="148"/>
      <c r="AF593" s="148"/>
      <c r="AG593" s="148"/>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c r="BI593" s="148"/>
      <c r="BJ593" s="148"/>
      <c r="BK593" s="148"/>
    </row>
    <row r="594" spans="1:63" hidden="1" x14ac:dyDescent="0.25">
      <c r="A594" s="19"/>
      <c r="E594" s="138">
        <f t="shared" si="62"/>
        <v>51653</v>
      </c>
      <c r="F594" s="63">
        <f t="shared" si="61"/>
        <v>2041</v>
      </c>
      <c r="G594" s="124">
        <f t="shared" si="63"/>
        <v>27</v>
      </c>
      <c r="H594" s="19"/>
      <c r="I594" s="407">
        <f t="shared" ref="I594:I631" si="65">I593+1</f>
        <v>323</v>
      </c>
      <c r="J594" s="177"/>
      <c r="K594" s="177"/>
      <c r="L594" s="177"/>
      <c r="M594" s="288">
        <f>IF(G594&gt;$G$264,"",(SUM(O$269)-SUM(O$271:O593))*(M$269/12))</f>
        <v>117.55973676434373</v>
      </c>
      <c r="N594" s="288"/>
      <c r="O594" s="408">
        <f t="shared" si="64"/>
        <v>769.13955543094755</v>
      </c>
      <c r="P594" s="148"/>
      <c r="Q594" s="177"/>
      <c r="R594" s="177"/>
      <c r="S594" s="177"/>
      <c r="T594" s="148"/>
      <c r="U594" s="148"/>
      <c r="V594" s="148"/>
      <c r="W594" s="148"/>
      <c r="X594" s="148"/>
      <c r="Y594" s="148"/>
      <c r="Z594" s="148"/>
      <c r="AA594" s="148"/>
      <c r="AB594" s="148"/>
      <c r="AC594" s="148"/>
      <c r="AD594" s="148"/>
      <c r="AE594" s="148"/>
      <c r="AF594" s="148"/>
      <c r="AG594" s="148"/>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c r="BI594" s="148"/>
      <c r="BJ594" s="148"/>
      <c r="BK594" s="148"/>
    </row>
    <row r="595" spans="1:63" hidden="1" x14ac:dyDescent="0.25">
      <c r="A595" s="19"/>
      <c r="E595" s="138">
        <f t="shared" si="62"/>
        <v>51683</v>
      </c>
      <c r="F595" s="63">
        <f t="shared" si="61"/>
        <v>2041</v>
      </c>
      <c r="G595" s="124">
        <f t="shared" si="63"/>
        <v>27</v>
      </c>
      <c r="H595" s="19"/>
      <c r="I595" s="407">
        <f t="shared" si="65"/>
        <v>324</v>
      </c>
      <c r="J595" s="177"/>
      <c r="K595" s="177"/>
      <c r="L595" s="177"/>
      <c r="M595" s="288">
        <f>IF(G595&gt;$G$264,"",(SUM(O$269)-SUM(O$271:O594))*(M$269/12))</f>
        <v>114.6754634314777</v>
      </c>
      <c r="N595" s="288"/>
      <c r="O595" s="408">
        <f t="shared" si="64"/>
        <v>772.02382876381353</v>
      </c>
      <c r="P595" s="148"/>
      <c r="Q595" s="177"/>
      <c r="R595" s="177"/>
      <c r="S595" s="177"/>
      <c r="T595" s="148"/>
      <c r="U595" s="148"/>
      <c r="V595" s="148"/>
      <c r="W595" s="148"/>
      <c r="X595" s="148"/>
      <c r="Y595" s="148"/>
      <c r="Z595" s="148"/>
      <c r="AA595" s="148"/>
      <c r="AB595" s="148"/>
      <c r="AC595" s="148"/>
      <c r="AD595" s="148"/>
      <c r="AE595" s="148"/>
      <c r="AF595" s="148"/>
      <c r="AG595" s="148"/>
      <c r="AH595" s="148"/>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c r="BI595" s="148"/>
      <c r="BJ595" s="148"/>
      <c r="BK595" s="148"/>
    </row>
    <row r="596" spans="1:63" hidden="1" x14ac:dyDescent="0.25">
      <c r="A596" s="19"/>
      <c r="E596" s="138">
        <f t="shared" si="62"/>
        <v>51714</v>
      </c>
      <c r="F596" s="63">
        <f t="shared" si="61"/>
        <v>2041</v>
      </c>
      <c r="G596" s="124">
        <f t="shared" si="63"/>
        <v>28</v>
      </c>
      <c r="H596" s="19"/>
      <c r="I596" s="407">
        <f t="shared" si="65"/>
        <v>325</v>
      </c>
      <c r="J596" s="177"/>
      <c r="K596" s="177"/>
      <c r="L596" s="177"/>
      <c r="M596" s="288">
        <f>IF(G596&gt;$G$264,"",(SUM(O$269)-SUM(O$271:O595))*(M$269/12))</f>
        <v>111.78037407361342</v>
      </c>
      <c r="N596" s="288"/>
      <c r="O596" s="408">
        <f t="shared" si="64"/>
        <v>774.91891812167785</v>
      </c>
      <c r="P596" s="148"/>
      <c r="Q596" s="177"/>
      <c r="R596" s="177"/>
      <c r="S596" s="177"/>
      <c r="T596" s="148"/>
      <c r="U596" s="148"/>
      <c r="V596" s="148"/>
      <c r="W596" s="148"/>
      <c r="X596" s="148"/>
      <c r="Y596" s="148"/>
      <c r="Z596" s="148"/>
      <c r="AA596" s="148"/>
      <c r="AB596" s="148"/>
      <c r="AC596" s="148"/>
      <c r="AD596" s="148"/>
      <c r="AE596" s="148"/>
      <c r="AF596" s="148"/>
      <c r="AG596" s="148"/>
      <c r="AH596" s="148"/>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c r="BI596" s="148"/>
      <c r="BJ596" s="148"/>
      <c r="BK596" s="148"/>
    </row>
    <row r="597" spans="1:63" hidden="1" x14ac:dyDescent="0.25">
      <c r="A597" s="19"/>
      <c r="E597" s="138">
        <f t="shared" si="62"/>
        <v>51745</v>
      </c>
      <c r="F597" s="63">
        <f t="shared" si="61"/>
        <v>2041</v>
      </c>
      <c r="G597" s="124">
        <f t="shared" si="63"/>
        <v>28</v>
      </c>
      <c r="H597" s="19"/>
      <c r="I597" s="407">
        <f t="shared" si="65"/>
        <v>326</v>
      </c>
      <c r="J597" s="177"/>
      <c r="K597" s="177"/>
      <c r="L597" s="177"/>
      <c r="M597" s="288">
        <f>IF(G597&gt;$G$264,"",(SUM(O$269)-SUM(O$271:O596))*(M$269/12))</f>
        <v>108.87442813065718</v>
      </c>
      <c r="N597" s="288"/>
      <c r="O597" s="408">
        <f t="shared" si="64"/>
        <v>777.82486406463408</v>
      </c>
      <c r="P597" s="148"/>
      <c r="Q597" s="177"/>
      <c r="R597" s="177"/>
      <c r="S597" s="177"/>
      <c r="T597" s="148"/>
      <c r="U597" s="148"/>
      <c r="V597" s="148"/>
      <c r="W597" s="148"/>
      <c r="X597" s="148"/>
      <c r="Y597" s="148"/>
      <c r="Z597" s="148"/>
      <c r="AA597" s="148"/>
      <c r="AB597" s="148"/>
      <c r="AC597" s="148"/>
      <c r="AD597" s="148"/>
      <c r="AE597" s="148"/>
      <c r="AF597" s="148"/>
      <c r="AG597" s="148"/>
      <c r="AH597" s="148"/>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c r="BI597" s="148"/>
      <c r="BJ597" s="148"/>
      <c r="BK597" s="148"/>
    </row>
    <row r="598" spans="1:63" hidden="1" x14ac:dyDescent="0.25">
      <c r="A598" s="19"/>
      <c r="E598" s="138">
        <f t="shared" si="62"/>
        <v>51775</v>
      </c>
      <c r="F598" s="63">
        <f t="shared" si="61"/>
        <v>2041</v>
      </c>
      <c r="G598" s="124">
        <f t="shared" si="63"/>
        <v>28</v>
      </c>
      <c r="H598" s="19"/>
      <c r="I598" s="407">
        <f t="shared" si="65"/>
        <v>327</v>
      </c>
      <c r="J598" s="177"/>
      <c r="K598" s="177"/>
      <c r="L598" s="177"/>
      <c r="M598" s="288">
        <f>IF(G598&gt;$G$264,"",(SUM(O$269)-SUM(O$271:O597))*(M$269/12))</f>
        <v>105.95758489041479</v>
      </c>
      <c r="N598" s="288"/>
      <c r="O598" s="408">
        <f t="shared" si="64"/>
        <v>780.74170730487651</v>
      </c>
      <c r="P598" s="148"/>
      <c r="Q598" s="177"/>
      <c r="R598" s="177"/>
      <c r="S598" s="177"/>
      <c r="T598" s="148"/>
      <c r="U598" s="148"/>
      <c r="V598" s="148"/>
      <c r="W598" s="148"/>
      <c r="X598" s="148"/>
      <c r="Y598" s="148"/>
      <c r="Z598" s="148"/>
      <c r="AA598" s="148"/>
      <c r="AB598" s="148"/>
      <c r="AC598" s="148"/>
      <c r="AD598" s="148"/>
      <c r="AE598" s="148"/>
      <c r="AF598" s="148"/>
      <c r="AG598" s="148"/>
      <c r="AH598" s="148"/>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c r="BI598" s="148"/>
      <c r="BJ598" s="148"/>
      <c r="BK598" s="148"/>
    </row>
    <row r="599" spans="1:63" hidden="1" x14ac:dyDescent="0.25">
      <c r="A599" s="19"/>
      <c r="E599" s="138">
        <f t="shared" si="62"/>
        <v>51806</v>
      </c>
      <c r="F599" s="63">
        <f t="shared" si="61"/>
        <v>2041</v>
      </c>
      <c r="G599" s="124">
        <f t="shared" si="63"/>
        <v>28</v>
      </c>
      <c r="H599" s="19"/>
      <c r="I599" s="407">
        <f t="shared" si="65"/>
        <v>328</v>
      </c>
      <c r="J599" s="177"/>
      <c r="K599" s="177"/>
      <c r="L599" s="177"/>
      <c r="M599" s="288">
        <f>IF(G599&gt;$G$264,"",(SUM(O$269)-SUM(O$271:O598))*(M$269/12))</f>
        <v>103.02980348802153</v>
      </c>
      <c r="N599" s="288"/>
      <c r="O599" s="408">
        <f t="shared" si="64"/>
        <v>783.66948870726969</v>
      </c>
      <c r="P599" s="148"/>
      <c r="Q599" s="177"/>
      <c r="R599" s="177"/>
      <c r="S599" s="177"/>
      <c r="T599" s="148"/>
      <c r="U599" s="148"/>
      <c r="V599" s="148"/>
      <c r="W599" s="148"/>
      <c r="X599" s="148"/>
      <c r="Y599" s="148"/>
      <c r="Z599" s="148"/>
      <c r="AA599" s="148"/>
      <c r="AB599" s="148"/>
      <c r="AC599" s="148"/>
      <c r="AD599" s="148"/>
      <c r="AE599" s="148"/>
      <c r="AF599" s="148"/>
      <c r="AG599" s="148"/>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c r="BI599" s="148"/>
      <c r="BJ599" s="148"/>
      <c r="BK599" s="148"/>
    </row>
    <row r="600" spans="1:63" hidden="1" x14ac:dyDescent="0.25">
      <c r="A600" s="19"/>
      <c r="E600" s="138">
        <f t="shared" si="62"/>
        <v>51836</v>
      </c>
      <c r="F600" s="63">
        <f t="shared" si="61"/>
        <v>2041</v>
      </c>
      <c r="G600" s="124">
        <f t="shared" si="63"/>
        <v>28</v>
      </c>
      <c r="H600" s="19"/>
      <c r="I600" s="407">
        <f t="shared" si="65"/>
        <v>329</v>
      </c>
      <c r="J600" s="177"/>
      <c r="K600" s="177"/>
      <c r="L600" s="177"/>
      <c r="M600" s="288">
        <f>IF(G600&gt;$G$264,"",(SUM(O$269)-SUM(O$271:O599))*(M$269/12))</f>
        <v>100.09104290536928</v>
      </c>
      <c r="N600" s="288"/>
      <c r="O600" s="408">
        <f t="shared" si="64"/>
        <v>786.60824928992201</v>
      </c>
      <c r="P600" s="148"/>
      <c r="Q600" s="177"/>
      <c r="R600" s="177"/>
      <c r="S600" s="177"/>
      <c r="T600" s="148"/>
      <c r="U600" s="148"/>
      <c r="V600" s="148"/>
      <c r="W600" s="148"/>
      <c r="X600" s="148"/>
      <c r="Y600" s="148"/>
      <c r="Z600" s="148"/>
      <c r="AA600" s="148"/>
      <c r="AB600" s="148"/>
      <c r="AC600" s="148"/>
      <c r="AD600" s="148"/>
      <c r="AE600" s="148"/>
      <c r="AF600" s="148"/>
      <c r="AG600" s="148"/>
      <c r="AH600" s="148"/>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c r="BI600" s="148"/>
      <c r="BJ600" s="148"/>
      <c r="BK600" s="148"/>
    </row>
    <row r="601" spans="1:63" hidden="1" x14ac:dyDescent="0.25">
      <c r="A601" s="19"/>
      <c r="E601" s="138">
        <f t="shared" si="62"/>
        <v>51867</v>
      </c>
      <c r="F601" s="63">
        <f t="shared" si="61"/>
        <v>2042</v>
      </c>
      <c r="G601" s="124">
        <f t="shared" si="63"/>
        <v>28</v>
      </c>
      <c r="H601" s="19"/>
      <c r="I601" s="407">
        <f t="shared" si="65"/>
        <v>330</v>
      </c>
      <c r="J601" s="177"/>
      <c r="K601" s="177"/>
      <c r="L601" s="177"/>
      <c r="M601" s="288">
        <f>IF(G601&gt;$G$264,"",(SUM(O$269)-SUM(O$271:O600))*(M$269/12))</f>
        <v>97.141261970532099</v>
      </c>
      <c r="N601" s="288"/>
      <c r="O601" s="408">
        <f t="shared" si="64"/>
        <v>789.55803022475914</v>
      </c>
      <c r="P601" s="148"/>
      <c r="Q601" s="177"/>
      <c r="R601" s="177"/>
      <c r="S601" s="177"/>
      <c r="T601" s="148"/>
      <c r="U601" s="148"/>
      <c r="V601" s="148"/>
      <c r="W601" s="148"/>
      <c r="X601" s="148"/>
      <c r="Y601" s="148"/>
      <c r="Z601" s="148"/>
      <c r="AA601" s="148"/>
      <c r="AB601" s="148"/>
      <c r="AC601" s="148"/>
      <c r="AD601" s="148"/>
      <c r="AE601" s="148"/>
      <c r="AF601" s="148"/>
      <c r="AG601" s="148"/>
      <c r="AH601" s="148"/>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c r="BI601" s="148"/>
      <c r="BJ601" s="148"/>
      <c r="BK601" s="148"/>
    </row>
    <row r="602" spans="1:63" hidden="1" x14ac:dyDescent="0.25">
      <c r="A602" s="19"/>
      <c r="E602" s="138">
        <f t="shared" si="62"/>
        <v>51898</v>
      </c>
      <c r="F602" s="63">
        <f t="shared" si="61"/>
        <v>2042</v>
      </c>
      <c r="G602" s="124">
        <f t="shared" si="63"/>
        <v>28</v>
      </c>
      <c r="H602" s="19"/>
      <c r="I602" s="407">
        <f t="shared" si="65"/>
        <v>331</v>
      </c>
      <c r="J602" s="177"/>
      <c r="K602" s="177"/>
      <c r="L602" s="177"/>
      <c r="M602" s="288">
        <f>IF(G602&gt;$G$264,"",(SUM(O$269)-SUM(O$271:O601))*(M$269/12))</f>
        <v>94.180419357189265</v>
      </c>
      <c r="N602" s="288"/>
      <c r="O602" s="408">
        <f t="shared" si="64"/>
        <v>792.51887283810197</v>
      </c>
      <c r="P602" s="148"/>
      <c r="Q602" s="177"/>
      <c r="R602" s="177"/>
      <c r="S602" s="177"/>
      <c r="T602" s="148"/>
      <c r="U602" s="148"/>
      <c r="V602" s="148"/>
      <c r="W602" s="148"/>
      <c r="X602" s="148"/>
      <c r="Y602" s="148"/>
      <c r="Z602" s="148"/>
      <c r="AA602" s="148"/>
      <c r="AB602" s="148"/>
      <c r="AC602" s="148"/>
      <c r="AD602" s="148"/>
      <c r="AE602" s="148"/>
      <c r="AF602" s="148"/>
      <c r="AG602" s="148"/>
      <c r="AH602" s="148"/>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c r="BI602" s="148"/>
      <c r="BJ602" s="148"/>
      <c r="BK602" s="148"/>
    </row>
    <row r="603" spans="1:63" hidden="1" x14ac:dyDescent="0.25">
      <c r="A603" s="19"/>
      <c r="E603" s="138">
        <f t="shared" si="62"/>
        <v>51926</v>
      </c>
      <c r="F603" s="63">
        <f t="shared" si="61"/>
        <v>2042</v>
      </c>
      <c r="G603" s="124">
        <f t="shared" si="63"/>
        <v>28</v>
      </c>
      <c r="H603" s="19"/>
      <c r="I603" s="407">
        <f t="shared" si="65"/>
        <v>332</v>
      </c>
      <c r="J603" s="177"/>
      <c r="K603" s="177"/>
      <c r="L603" s="177"/>
      <c r="M603" s="288">
        <f>IF(G603&gt;$G$264,"",(SUM(O$269)-SUM(O$271:O602))*(M$269/12))</f>
        <v>91.208473584046445</v>
      </c>
      <c r="N603" s="288"/>
      <c r="O603" s="408">
        <f t="shared" si="64"/>
        <v>795.49081861124478</v>
      </c>
      <c r="P603" s="148"/>
      <c r="Q603" s="177"/>
      <c r="R603" s="177"/>
      <c r="S603" s="177"/>
      <c r="T603" s="148"/>
      <c r="U603" s="148"/>
      <c r="V603" s="148"/>
      <c r="W603" s="148"/>
      <c r="X603" s="148"/>
      <c r="Y603" s="148"/>
      <c r="Z603" s="148"/>
      <c r="AA603" s="148"/>
      <c r="AB603" s="148"/>
      <c r="AC603" s="148"/>
      <c r="AD603" s="148"/>
      <c r="AE603" s="148"/>
      <c r="AF603" s="148"/>
      <c r="AG603" s="148"/>
      <c r="AH603" s="148"/>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c r="BI603" s="148"/>
      <c r="BJ603" s="148"/>
      <c r="BK603" s="148"/>
    </row>
    <row r="604" spans="1:63" hidden="1" x14ac:dyDescent="0.25">
      <c r="A604" s="19"/>
      <c r="E604" s="138">
        <f t="shared" si="62"/>
        <v>51957</v>
      </c>
      <c r="F604" s="63">
        <f t="shared" si="61"/>
        <v>2042</v>
      </c>
      <c r="G604" s="124">
        <f t="shared" si="63"/>
        <v>28</v>
      </c>
      <c r="H604" s="19"/>
      <c r="I604" s="407">
        <f t="shared" si="65"/>
        <v>333</v>
      </c>
      <c r="J604" s="177"/>
      <c r="K604" s="177"/>
      <c r="L604" s="177"/>
      <c r="M604" s="288">
        <f>IF(G604&gt;$G$264,"",(SUM(O$269)-SUM(O$271:O603))*(M$269/12))</f>
        <v>88.22538301425422</v>
      </c>
      <c r="N604" s="288"/>
      <c r="O604" s="408">
        <f t="shared" si="64"/>
        <v>798.47390918103702</v>
      </c>
      <c r="P604" s="148"/>
      <c r="Q604" s="177"/>
      <c r="R604" s="177"/>
      <c r="S604" s="177"/>
      <c r="T604" s="148"/>
      <c r="U604" s="148"/>
      <c r="V604" s="148"/>
      <c r="W604" s="148"/>
      <c r="X604" s="148"/>
      <c r="Y604" s="148"/>
      <c r="Z604" s="148"/>
      <c r="AA604" s="148"/>
      <c r="AB604" s="148"/>
      <c r="AC604" s="148"/>
      <c r="AD604" s="148"/>
      <c r="AE604" s="148"/>
      <c r="AF604" s="148"/>
      <c r="AG604" s="148"/>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c r="BI604" s="148"/>
      <c r="BJ604" s="148"/>
      <c r="BK604" s="148"/>
    </row>
    <row r="605" spans="1:63" hidden="1" x14ac:dyDescent="0.25">
      <c r="A605" s="19"/>
      <c r="E605" s="138">
        <f t="shared" si="62"/>
        <v>51987</v>
      </c>
      <c r="F605" s="63">
        <f t="shared" si="61"/>
        <v>2042</v>
      </c>
      <c r="G605" s="124">
        <f t="shared" si="63"/>
        <v>28</v>
      </c>
      <c r="H605" s="19"/>
      <c r="I605" s="407">
        <f t="shared" si="65"/>
        <v>334</v>
      </c>
      <c r="J605" s="177"/>
      <c r="K605" s="177"/>
      <c r="L605" s="177"/>
      <c r="M605" s="288">
        <f>IF(G605&gt;$G$264,"",(SUM(O$269)-SUM(O$271:O604))*(M$269/12))</f>
        <v>85.231105854825287</v>
      </c>
      <c r="N605" s="288"/>
      <c r="O605" s="408">
        <f t="shared" si="64"/>
        <v>801.46818634046599</v>
      </c>
      <c r="P605" s="148"/>
      <c r="Q605" s="177"/>
      <c r="R605" s="177"/>
      <c r="S605" s="177"/>
      <c r="T605" s="148"/>
      <c r="U605" s="148"/>
      <c r="V605" s="148"/>
      <c r="W605" s="148"/>
      <c r="X605" s="148"/>
      <c r="Y605" s="148"/>
      <c r="Z605" s="148"/>
      <c r="AA605" s="148"/>
      <c r="AB605" s="148"/>
      <c r="AC605" s="148"/>
      <c r="AD605" s="148"/>
      <c r="AE605" s="148"/>
      <c r="AF605" s="148"/>
      <c r="AG605" s="148"/>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c r="BI605" s="148"/>
      <c r="BJ605" s="148"/>
      <c r="BK605" s="148"/>
    </row>
    <row r="606" spans="1:63" hidden="1" x14ac:dyDescent="0.25">
      <c r="A606" s="19"/>
      <c r="E606" s="138">
        <f t="shared" si="62"/>
        <v>52018</v>
      </c>
      <c r="F606" s="63">
        <f t="shared" si="61"/>
        <v>2042</v>
      </c>
      <c r="G606" s="124">
        <f t="shared" si="63"/>
        <v>28</v>
      </c>
      <c r="H606" s="19"/>
      <c r="I606" s="407">
        <f t="shared" si="65"/>
        <v>335</v>
      </c>
      <c r="J606" s="177"/>
      <c r="K606" s="177"/>
      <c r="L606" s="177"/>
      <c r="M606" s="288">
        <f>IF(G606&gt;$G$264,"",(SUM(O$269)-SUM(O$271:O605))*(M$269/12))</f>
        <v>82.225600156048529</v>
      </c>
      <c r="N606" s="288"/>
      <c r="O606" s="408">
        <f t="shared" si="64"/>
        <v>804.47369203924268</v>
      </c>
      <c r="P606" s="148"/>
      <c r="Q606" s="177"/>
      <c r="R606" s="177"/>
      <c r="S606" s="177"/>
      <c r="T606" s="148"/>
      <c r="U606" s="148"/>
      <c r="V606" s="148"/>
      <c r="W606" s="148"/>
      <c r="X606" s="148"/>
      <c r="Y606" s="148"/>
      <c r="Z606" s="148"/>
      <c r="AA606" s="148"/>
      <c r="AB606" s="148"/>
      <c r="AC606" s="148"/>
      <c r="AD606" s="148"/>
      <c r="AE606" s="148"/>
      <c r="AF606" s="148"/>
      <c r="AG606" s="148"/>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c r="BI606" s="148"/>
      <c r="BJ606" s="148"/>
      <c r="BK606" s="148"/>
    </row>
    <row r="607" spans="1:63" hidden="1" x14ac:dyDescent="0.25">
      <c r="A607" s="19"/>
      <c r="E607" s="138">
        <f t="shared" si="62"/>
        <v>52048</v>
      </c>
      <c r="F607" s="63">
        <f t="shared" si="61"/>
        <v>2042</v>
      </c>
      <c r="G607" s="124">
        <f t="shared" si="63"/>
        <v>28</v>
      </c>
      <c r="H607" s="19"/>
      <c r="I607" s="407">
        <f t="shared" si="65"/>
        <v>336</v>
      </c>
      <c r="J607" s="177"/>
      <c r="K607" s="177"/>
      <c r="L607" s="177"/>
      <c r="M607" s="288">
        <f>IF(G607&gt;$G$264,"",(SUM(O$269)-SUM(O$271:O606))*(M$269/12))</f>
        <v>79.208823810901407</v>
      </c>
      <c r="N607" s="288"/>
      <c r="O607" s="408">
        <f t="shared" si="64"/>
        <v>807.49046838438983</v>
      </c>
      <c r="P607" s="148"/>
      <c r="Q607" s="177"/>
      <c r="R607" s="177"/>
      <c r="S607" s="177"/>
      <c r="T607" s="148"/>
      <c r="U607" s="148"/>
      <c r="V607" s="148"/>
      <c r="W607" s="148"/>
      <c r="X607" s="148"/>
      <c r="Y607" s="148"/>
      <c r="Z607" s="148"/>
      <c r="AA607" s="148"/>
      <c r="AB607" s="148"/>
      <c r="AC607" s="148"/>
      <c r="AD607" s="148"/>
      <c r="AE607" s="148"/>
      <c r="AF607" s="148"/>
      <c r="AG607" s="148"/>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c r="BI607" s="148"/>
      <c r="BJ607" s="148"/>
      <c r="BK607" s="148"/>
    </row>
    <row r="608" spans="1:63" hidden="1" x14ac:dyDescent="0.25">
      <c r="A608" s="19"/>
      <c r="E608" s="138">
        <f t="shared" si="62"/>
        <v>52079</v>
      </c>
      <c r="F608" s="63">
        <f t="shared" si="61"/>
        <v>2042</v>
      </c>
      <c r="G608" s="124">
        <f t="shared" si="63"/>
        <v>29</v>
      </c>
      <c r="H608" s="19"/>
      <c r="I608" s="407">
        <f t="shared" si="65"/>
        <v>337</v>
      </c>
      <c r="J608" s="177"/>
      <c r="K608" s="177"/>
      <c r="L608" s="177"/>
      <c r="M608" s="288">
        <f>IF(G608&gt;$G$264,"",(SUM(O$269)-SUM(O$271:O607))*(M$269/12))</f>
        <v>76.180734554459988</v>
      </c>
      <c r="N608" s="288"/>
      <c r="O608" s="408">
        <f t="shared" si="64"/>
        <v>810.51855764083132</v>
      </c>
      <c r="P608" s="148"/>
      <c r="Q608" s="177"/>
      <c r="R608" s="177"/>
      <c r="S608" s="177"/>
      <c r="T608" s="148"/>
      <c r="U608" s="148"/>
      <c r="V608" s="148"/>
      <c r="W608" s="148"/>
      <c r="X608" s="148"/>
      <c r="Y608" s="148"/>
      <c r="Z608" s="148"/>
      <c r="AA608" s="148"/>
      <c r="AB608" s="148"/>
      <c r="AC608" s="148"/>
      <c r="AD608" s="148"/>
      <c r="AE608" s="148"/>
      <c r="AF608" s="148"/>
      <c r="AG608" s="148"/>
      <c r="AH608" s="148"/>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c r="BI608" s="148"/>
      <c r="BJ608" s="148"/>
      <c r="BK608" s="148"/>
    </row>
    <row r="609" spans="1:63" hidden="1" x14ac:dyDescent="0.25">
      <c r="A609" s="19"/>
      <c r="E609" s="138">
        <f t="shared" si="62"/>
        <v>52110</v>
      </c>
      <c r="F609" s="63">
        <f t="shared" si="61"/>
        <v>2042</v>
      </c>
      <c r="G609" s="124">
        <f t="shared" si="63"/>
        <v>29</v>
      </c>
      <c r="H609" s="19"/>
      <c r="I609" s="407">
        <f t="shared" si="65"/>
        <v>338</v>
      </c>
      <c r="J609" s="177"/>
      <c r="K609" s="177"/>
      <c r="L609" s="177"/>
      <c r="M609" s="288">
        <f>IF(G609&gt;$G$264,"",(SUM(O$269)-SUM(O$271:O608))*(M$269/12))</f>
        <v>73.141289963306846</v>
      </c>
      <c r="N609" s="288"/>
      <c r="O609" s="408">
        <f t="shared" si="64"/>
        <v>813.55800223198446</v>
      </c>
      <c r="P609" s="148"/>
      <c r="Q609" s="177"/>
      <c r="R609" s="177"/>
      <c r="S609" s="177"/>
      <c r="T609" s="148"/>
      <c r="U609" s="148"/>
      <c r="V609" s="148"/>
      <c r="W609" s="148"/>
      <c r="X609" s="148"/>
      <c r="Y609" s="148"/>
      <c r="Z609" s="148"/>
      <c r="AA609" s="148"/>
      <c r="AB609" s="148"/>
      <c r="AC609" s="148"/>
      <c r="AD609" s="148"/>
      <c r="AE609" s="148"/>
      <c r="AF609" s="148"/>
      <c r="AG609" s="148"/>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c r="BI609" s="148"/>
      <c r="BJ609" s="148"/>
      <c r="BK609" s="148"/>
    </row>
    <row r="610" spans="1:63" hidden="1" x14ac:dyDescent="0.25">
      <c r="A610" s="19"/>
      <c r="E610" s="138">
        <f t="shared" si="62"/>
        <v>52140</v>
      </c>
      <c r="F610" s="63">
        <f t="shared" si="61"/>
        <v>2042</v>
      </c>
      <c r="G610" s="124">
        <f t="shared" si="63"/>
        <v>29</v>
      </c>
      <c r="H610" s="19"/>
      <c r="I610" s="407">
        <f t="shared" si="65"/>
        <v>339</v>
      </c>
      <c r="J610" s="177"/>
      <c r="K610" s="177"/>
      <c r="L610" s="177"/>
      <c r="M610" s="288">
        <f>IF(G610&gt;$G$264,"",(SUM(O$269)-SUM(O$271:O609))*(M$269/12))</f>
        <v>70.090447454936879</v>
      </c>
      <c r="N610" s="288"/>
      <c r="O610" s="408">
        <f t="shared" si="64"/>
        <v>816.60884474035436</v>
      </c>
      <c r="P610" s="148"/>
      <c r="Q610" s="177"/>
      <c r="R610" s="177"/>
      <c r="S610" s="177"/>
      <c r="T610" s="148"/>
      <c r="U610" s="148"/>
      <c r="V610" s="148"/>
      <c r="W610" s="148"/>
      <c r="X610" s="148"/>
      <c r="Y610" s="148"/>
      <c r="Z610" s="148"/>
      <c r="AA610" s="148"/>
      <c r="AB610" s="148"/>
      <c r="AC610" s="148"/>
      <c r="AD610" s="148"/>
      <c r="AE610" s="148"/>
      <c r="AF610" s="148"/>
      <c r="AG610" s="148"/>
      <c r="AH610" s="148"/>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c r="BI610" s="148"/>
      <c r="BJ610" s="148"/>
      <c r="BK610" s="148"/>
    </row>
    <row r="611" spans="1:63" hidden="1" x14ac:dyDescent="0.25">
      <c r="A611" s="19"/>
      <c r="E611" s="138">
        <f t="shared" si="62"/>
        <v>52171</v>
      </c>
      <c r="F611" s="63">
        <f t="shared" si="61"/>
        <v>2042</v>
      </c>
      <c r="G611" s="124">
        <f t="shared" si="63"/>
        <v>29</v>
      </c>
      <c r="H611" s="19"/>
      <c r="I611" s="407">
        <f t="shared" si="65"/>
        <v>340</v>
      </c>
      <c r="J611" s="177"/>
      <c r="K611" s="177"/>
      <c r="L611" s="177"/>
      <c r="M611" s="288">
        <f>IF(G611&gt;$G$264,"",(SUM(O$269)-SUM(O$271:O610))*(M$269/12))</f>
        <v>67.028164287160578</v>
      </c>
      <c r="N611" s="288"/>
      <c r="O611" s="408">
        <f t="shared" si="64"/>
        <v>819.67112790813064</v>
      </c>
      <c r="P611" s="148"/>
      <c r="Q611" s="177"/>
      <c r="R611" s="177"/>
      <c r="S611" s="177"/>
      <c r="T611" s="148"/>
      <c r="U611" s="148"/>
      <c r="V611" s="148"/>
      <c r="W611" s="148"/>
      <c r="X611" s="148"/>
      <c r="Y611" s="148"/>
      <c r="Z611" s="148"/>
      <c r="AA611" s="148"/>
      <c r="AB611" s="148"/>
      <c r="AC611" s="148"/>
      <c r="AD611" s="148"/>
      <c r="AE611" s="148"/>
      <c r="AF611" s="148"/>
      <c r="AG611" s="148"/>
      <c r="AH611" s="148"/>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c r="BI611" s="148"/>
      <c r="BJ611" s="148"/>
      <c r="BK611" s="148"/>
    </row>
    <row r="612" spans="1:63" hidden="1" x14ac:dyDescent="0.25">
      <c r="A612" s="19"/>
      <c r="E612" s="138">
        <f t="shared" si="62"/>
        <v>52201</v>
      </c>
      <c r="F612" s="63">
        <f t="shared" si="61"/>
        <v>2042</v>
      </c>
      <c r="G612" s="124">
        <f t="shared" si="63"/>
        <v>29</v>
      </c>
      <c r="H612" s="19"/>
      <c r="I612" s="407">
        <f t="shared" si="65"/>
        <v>341</v>
      </c>
      <c r="J612" s="177"/>
      <c r="K612" s="177"/>
      <c r="L612" s="177"/>
      <c r="M612" s="288">
        <f>IF(G612&gt;$G$264,"",(SUM(O$269)-SUM(O$271:O611))*(M$269/12))</f>
        <v>63.954397557505068</v>
      </c>
      <c r="N612" s="288"/>
      <c r="O612" s="408">
        <f t="shared" si="64"/>
        <v>822.74489463778616</v>
      </c>
      <c r="P612" s="148"/>
      <c r="Q612" s="177"/>
      <c r="R612" s="177"/>
      <c r="S612" s="177"/>
      <c r="T612" s="148"/>
      <c r="U612" s="148"/>
      <c r="V612" s="148"/>
      <c r="W612" s="148"/>
      <c r="X612" s="148"/>
      <c r="Y612" s="148"/>
      <c r="Z612" s="148"/>
      <c r="AA612" s="148"/>
      <c r="AB612" s="148"/>
      <c r="AC612" s="148"/>
      <c r="AD612" s="148"/>
      <c r="AE612" s="148"/>
      <c r="AF612" s="148"/>
      <c r="AG612" s="148"/>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c r="BI612" s="148"/>
      <c r="BJ612" s="148"/>
      <c r="BK612" s="148"/>
    </row>
    <row r="613" spans="1:63" hidden="1" x14ac:dyDescent="0.25">
      <c r="A613" s="19"/>
      <c r="E613" s="138">
        <f t="shared" si="62"/>
        <v>52232</v>
      </c>
      <c r="F613" s="63">
        <f t="shared" si="61"/>
        <v>2043</v>
      </c>
      <c r="G613" s="124">
        <f t="shared" si="63"/>
        <v>29</v>
      </c>
      <c r="H613" s="19"/>
      <c r="I613" s="407">
        <f t="shared" si="65"/>
        <v>342</v>
      </c>
      <c r="J613" s="177"/>
      <c r="K613" s="177"/>
      <c r="L613" s="177"/>
      <c r="M613" s="288">
        <f>IF(G613&gt;$G$264,"",(SUM(O$269)-SUM(O$271:O612))*(M$269/12))</f>
        <v>60.869104202613379</v>
      </c>
      <c r="N613" s="288"/>
      <c r="O613" s="408">
        <f t="shared" si="64"/>
        <v>825.83018799267791</v>
      </c>
      <c r="P613" s="148"/>
      <c r="Q613" s="177"/>
      <c r="R613" s="177"/>
      <c r="S613" s="177"/>
      <c r="T613" s="148"/>
      <c r="U613" s="148"/>
      <c r="V613" s="148"/>
      <c r="W613" s="148"/>
      <c r="X613" s="148"/>
      <c r="Y613" s="148"/>
      <c r="Z613" s="148"/>
      <c r="AA613" s="148"/>
      <c r="AB613" s="148"/>
      <c r="AC613" s="148"/>
      <c r="AD613" s="148"/>
      <c r="AE613" s="148"/>
      <c r="AF613" s="148"/>
      <c r="AG613" s="148"/>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c r="BI613" s="148"/>
      <c r="BJ613" s="148"/>
      <c r="BK613" s="148"/>
    </row>
    <row r="614" spans="1:63" hidden="1" x14ac:dyDescent="0.25">
      <c r="A614" s="19"/>
      <c r="E614" s="138">
        <f t="shared" si="62"/>
        <v>52263</v>
      </c>
      <c r="F614" s="63">
        <f t="shared" si="61"/>
        <v>2043</v>
      </c>
      <c r="G614" s="124">
        <f t="shared" si="63"/>
        <v>29</v>
      </c>
      <c r="H614" s="19"/>
      <c r="I614" s="407">
        <f t="shared" si="65"/>
        <v>343</v>
      </c>
      <c r="J614" s="177"/>
      <c r="K614" s="177"/>
      <c r="L614" s="177"/>
      <c r="M614" s="288">
        <f>IF(G614&gt;$G$264,"",(SUM(O$269)-SUM(O$271:O613))*(M$269/12))</f>
        <v>57.7722409976408</v>
      </c>
      <c r="N614" s="288"/>
      <c r="O614" s="408">
        <f t="shared" si="64"/>
        <v>828.92705119765048</v>
      </c>
      <c r="P614" s="148"/>
      <c r="Q614" s="177"/>
      <c r="R614" s="177"/>
      <c r="S614" s="177"/>
      <c r="T614" s="148"/>
      <c r="U614" s="148"/>
      <c r="V614" s="148"/>
      <c r="W614" s="148"/>
      <c r="X614" s="148"/>
      <c r="Y614" s="148"/>
      <c r="Z614" s="148"/>
      <c r="AA614" s="148"/>
      <c r="AB614" s="148"/>
      <c r="AC614" s="148"/>
      <c r="AD614" s="148"/>
      <c r="AE614" s="148"/>
      <c r="AF614" s="148"/>
      <c r="AG614" s="148"/>
      <c r="AH614" s="148"/>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c r="BI614" s="148"/>
      <c r="BJ614" s="148"/>
      <c r="BK614" s="148"/>
    </row>
    <row r="615" spans="1:63" hidden="1" x14ac:dyDescent="0.25">
      <c r="A615" s="19"/>
      <c r="E615" s="138">
        <f t="shared" si="62"/>
        <v>52291</v>
      </c>
      <c r="F615" s="63">
        <f t="shared" si="61"/>
        <v>2043</v>
      </c>
      <c r="G615" s="124">
        <f t="shared" si="63"/>
        <v>29</v>
      </c>
      <c r="H615" s="19"/>
      <c r="I615" s="407">
        <f t="shared" si="65"/>
        <v>344</v>
      </c>
      <c r="J615" s="177"/>
      <c r="K615" s="177"/>
      <c r="L615" s="177"/>
      <c r="M615" s="288">
        <f>IF(G615&gt;$G$264,"",(SUM(O$269)-SUM(O$271:O614))*(M$269/12))</f>
        <v>54.663764555649614</v>
      </c>
      <c r="N615" s="288"/>
      <c r="O615" s="408">
        <f t="shared" si="64"/>
        <v>832.0355276396416</v>
      </c>
      <c r="P615" s="148"/>
      <c r="Q615" s="177"/>
      <c r="R615" s="177"/>
      <c r="S615" s="177"/>
      <c r="T615" s="148"/>
      <c r="U615" s="148"/>
      <c r="V615" s="148"/>
      <c r="W615" s="148"/>
      <c r="X615" s="148"/>
      <c r="Y615" s="148"/>
      <c r="Z615" s="148"/>
      <c r="AA615" s="148"/>
      <c r="AB615" s="148"/>
      <c r="AC615" s="148"/>
      <c r="AD615" s="148"/>
      <c r="AE615" s="148"/>
      <c r="AF615" s="148"/>
      <c r="AG615" s="148"/>
      <c r="AH615" s="148"/>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c r="BI615" s="148"/>
      <c r="BJ615" s="148"/>
      <c r="BK615" s="148"/>
    </row>
    <row r="616" spans="1:63" hidden="1" x14ac:dyDescent="0.25">
      <c r="A616" s="19"/>
      <c r="E616" s="138">
        <f t="shared" si="62"/>
        <v>52322</v>
      </c>
      <c r="F616" s="63">
        <f t="shared" si="61"/>
        <v>2043</v>
      </c>
      <c r="G616" s="124">
        <f t="shared" si="63"/>
        <v>29</v>
      </c>
      <c r="H616" s="19"/>
      <c r="I616" s="407">
        <f t="shared" si="65"/>
        <v>345</v>
      </c>
      <c r="J616" s="177"/>
      <c r="K616" s="177"/>
      <c r="L616" s="177"/>
      <c r="M616" s="288">
        <f>IF(G616&gt;$G$264,"",(SUM(O$269)-SUM(O$271:O615))*(M$269/12))</f>
        <v>51.543631327000945</v>
      </c>
      <c r="N616" s="288"/>
      <c r="O616" s="408">
        <f t="shared" si="64"/>
        <v>835.15566086829028</v>
      </c>
      <c r="P616" s="148"/>
      <c r="Q616" s="177"/>
      <c r="R616" s="177"/>
      <c r="S616" s="177"/>
      <c r="T616" s="148"/>
      <c r="U616" s="148"/>
      <c r="V616" s="148"/>
      <c r="W616" s="148"/>
      <c r="X616" s="148"/>
      <c r="Y616" s="148"/>
      <c r="Z616" s="148"/>
      <c r="AA616" s="148"/>
      <c r="AB616" s="148"/>
      <c r="AC616" s="148"/>
      <c r="AD616" s="148"/>
      <c r="AE616" s="148"/>
      <c r="AF616" s="148"/>
      <c r="AG616" s="148"/>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c r="BI616" s="148"/>
      <c r="BJ616" s="148"/>
      <c r="BK616" s="148"/>
    </row>
    <row r="617" spans="1:63" hidden="1" x14ac:dyDescent="0.25">
      <c r="A617" s="19"/>
      <c r="E617" s="138">
        <f t="shared" si="62"/>
        <v>52352</v>
      </c>
      <c r="F617" s="63">
        <f t="shared" si="61"/>
        <v>2043</v>
      </c>
      <c r="G617" s="124">
        <f t="shared" si="63"/>
        <v>29</v>
      </c>
      <c r="H617" s="19"/>
      <c r="I617" s="407">
        <f t="shared" si="65"/>
        <v>346</v>
      </c>
      <c r="J617" s="177"/>
      <c r="K617" s="177"/>
      <c r="L617" s="177"/>
      <c r="M617" s="288">
        <f>IF(G617&gt;$G$264,"",(SUM(O$269)-SUM(O$271:O616))*(M$269/12))</f>
        <v>48.411797598744812</v>
      </c>
      <c r="N617" s="288"/>
      <c r="O617" s="408">
        <f t="shared" si="64"/>
        <v>838.28749459654648</v>
      </c>
      <c r="P617" s="148"/>
      <c r="Q617" s="177"/>
      <c r="R617" s="177"/>
      <c r="S617" s="177"/>
      <c r="T617" s="148"/>
      <c r="U617" s="148"/>
      <c r="V617" s="148"/>
      <c r="W617" s="148"/>
      <c r="X617" s="148"/>
      <c r="Y617" s="148"/>
      <c r="Z617" s="148"/>
      <c r="AA617" s="148"/>
      <c r="AB617" s="148"/>
      <c r="AC617" s="148"/>
      <c r="AD617" s="148"/>
      <c r="AE617" s="148"/>
      <c r="AF617" s="148"/>
      <c r="AG617" s="148"/>
      <c r="AH617" s="148"/>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c r="BI617" s="148"/>
      <c r="BJ617" s="148"/>
      <c r="BK617" s="148"/>
    </row>
    <row r="618" spans="1:63" hidden="1" x14ac:dyDescent="0.25">
      <c r="A618" s="19"/>
      <c r="E618" s="138">
        <f t="shared" si="62"/>
        <v>52383</v>
      </c>
      <c r="F618" s="63">
        <f t="shared" si="61"/>
        <v>2043</v>
      </c>
      <c r="G618" s="124">
        <f t="shared" si="63"/>
        <v>29</v>
      </c>
      <c r="H618" s="19"/>
      <c r="I618" s="407">
        <f t="shared" si="65"/>
        <v>347</v>
      </c>
      <c r="J618" s="177"/>
      <c r="K618" s="177"/>
      <c r="L618" s="177"/>
      <c r="M618" s="288">
        <f>IF(G618&gt;$G$264,"",(SUM(O$269)-SUM(O$271:O617))*(M$269/12))</f>
        <v>45.268219494007717</v>
      </c>
      <c r="N618" s="288"/>
      <c r="O618" s="408">
        <f t="shared" si="64"/>
        <v>841.4310727012836</v>
      </c>
      <c r="P618" s="148"/>
      <c r="Q618" s="177"/>
      <c r="R618" s="177"/>
      <c r="S618" s="177"/>
      <c r="T618" s="148"/>
      <c r="U618" s="148"/>
      <c r="V618" s="148"/>
      <c r="W618" s="148"/>
      <c r="X618" s="148"/>
      <c r="Y618" s="148"/>
      <c r="Z618" s="148"/>
      <c r="AA618" s="148"/>
      <c r="AB618" s="148"/>
      <c r="AC618" s="148"/>
      <c r="AD618" s="148"/>
      <c r="AE618" s="148"/>
      <c r="AF618" s="148"/>
      <c r="AG618" s="148"/>
      <c r="AH618" s="148"/>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c r="BI618" s="148"/>
      <c r="BJ618" s="148"/>
      <c r="BK618" s="148"/>
    </row>
    <row r="619" spans="1:63" hidden="1" x14ac:dyDescent="0.25">
      <c r="A619" s="19"/>
      <c r="E619" s="138">
        <f t="shared" si="62"/>
        <v>52413</v>
      </c>
      <c r="F619" s="63">
        <f t="shared" si="61"/>
        <v>2043</v>
      </c>
      <c r="G619" s="124">
        <f t="shared" si="63"/>
        <v>29</v>
      </c>
      <c r="H619" s="19"/>
      <c r="I619" s="407">
        <f t="shared" si="65"/>
        <v>348</v>
      </c>
      <c r="J619" s="177"/>
      <c r="K619" s="177"/>
      <c r="L619" s="177"/>
      <c r="M619" s="288">
        <f>IF(G619&gt;$G$264,"",(SUM(O$269)-SUM(O$271:O618))*(M$269/12))</f>
        <v>42.112852971377869</v>
      </c>
      <c r="N619" s="288"/>
      <c r="O619" s="408">
        <f t="shared" si="64"/>
        <v>844.58643922391343</v>
      </c>
      <c r="P619" s="148"/>
      <c r="Q619" s="177"/>
      <c r="R619" s="177"/>
      <c r="S619" s="177"/>
      <c r="T619" s="148"/>
      <c r="U619" s="148"/>
      <c r="V619" s="148"/>
      <c r="W619" s="148"/>
      <c r="X619" s="148"/>
      <c r="Y619" s="148"/>
      <c r="Z619" s="148"/>
      <c r="AA619" s="148"/>
      <c r="AB619" s="148"/>
      <c r="AC619" s="148"/>
      <c r="AD619" s="148"/>
      <c r="AE619" s="148"/>
      <c r="AF619" s="148"/>
      <c r="AG619" s="148"/>
      <c r="AH619" s="148"/>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c r="BI619" s="148"/>
      <c r="BJ619" s="148"/>
      <c r="BK619" s="148"/>
    </row>
    <row r="620" spans="1:63" hidden="1" x14ac:dyDescent="0.25">
      <c r="A620" s="19"/>
      <c r="E620" s="138">
        <f t="shared" si="62"/>
        <v>52444</v>
      </c>
      <c r="F620" s="63">
        <f t="shared" si="61"/>
        <v>2043</v>
      </c>
      <c r="G620" s="124">
        <f t="shared" si="63"/>
        <v>30</v>
      </c>
      <c r="H620" s="19"/>
      <c r="I620" s="407">
        <f t="shared" si="65"/>
        <v>349</v>
      </c>
      <c r="J620" s="177"/>
      <c r="K620" s="177"/>
      <c r="L620" s="177"/>
      <c r="M620" s="288">
        <f>IF(G620&gt;$G$264,"",(SUM(O$269)-SUM(O$271:O619))*(M$269/12))</f>
        <v>38.945653824288236</v>
      </c>
      <c r="N620" s="288"/>
      <c r="O620" s="408">
        <f t="shared" si="64"/>
        <v>847.75363837100303</v>
      </c>
      <c r="P620" s="148"/>
      <c r="Q620" s="177"/>
      <c r="R620" s="177"/>
      <c r="S620" s="177"/>
      <c r="T620" s="148"/>
      <c r="U620" s="148"/>
      <c r="V620" s="148"/>
      <c r="W620" s="148"/>
      <c r="X620" s="148"/>
      <c r="Y620" s="148"/>
      <c r="Z620" s="148"/>
      <c r="AA620" s="148"/>
      <c r="AB620" s="148"/>
      <c r="AC620" s="148"/>
      <c r="AD620" s="148"/>
      <c r="AE620" s="148"/>
      <c r="AF620" s="148"/>
      <c r="AG620" s="148"/>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c r="BI620" s="148"/>
      <c r="BJ620" s="148"/>
      <c r="BK620" s="148"/>
    </row>
    <row r="621" spans="1:63" hidden="1" x14ac:dyDescent="0.25">
      <c r="A621" s="19"/>
      <c r="E621" s="138">
        <f t="shared" si="62"/>
        <v>52475</v>
      </c>
      <c r="F621" s="63">
        <f t="shared" si="61"/>
        <v>2043</v>
      </c>
      <c r="G621" s="124">
        <f t="shared" si="63"/>
        <v>30</v>
      </c>
      <c r="H621" s="19"/>
      <c r="I621" s="407">
        <f t="shared" si="65"/>
        <v>350</v>
      </c>
      <c r="J621" s="177"/>
      <c r="K621" s="177"/>
      <c r="L621" s="177"/>
      <c r="M621" s="288">
        <f>IF(G621&gt;$G$264,"",(SUM(O$269)-SUM(O$271:O620))*(M$269/12))</f>
        <v>35.766577680396949</v>
      </c>
      <c r="N621" s="288"/>
      <c r="O621" s="408">
        <f t="shared" si="64"/>
        <v>850.93271451489431</v>
      </c>
      <c r="P621" s="148"/>
      <c r="Q621" s="177"/>
      <c r="R621" s="177"/>
      <c r="S621" s="177"/>
      <c r="T621" s="148"/>
      <c r="U621" s="148"/>
      <c r="V621" s="148"/>
      <c r="W621" s="148"/>
      <c r="X621" s="148"/>
      <c r="Y621" s="148"/>
      <c r="Z621" s="148"/>
      <c r="AA621" s="148"/>
      <c r="AB621" s="148"/>
      <c r="AC621" s="148"/>
      <c r="AD621" s="148"/>
      <c r="AE621" s="148"/>
      <c r="AF621" s="148"/>
      <c r="AG621" s="148"/>
      <c r="AH621" s="148"/>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c r="BI621" s="148"/>
      <c r="BJ621" s="148"/>
      <c r="BK621" s="148"/>
    </row>
    <row r="622" spans="1:63" hidden="1" x14ac:dyDescent="0.25">
      <c r="A622" s="19"/>
      <c r="E622" s="138">
        <f t="shared" si="62"/>
        <v>52505</v>
      </c>
      <c r="F622" s="63">
        <f t="shared" si="61"/>
        <v>2043</v>
      </c>
      <c r="G622" s="124">
        <f t="shared" si="63"/>
        <v>30</v>
      </c>
      <c r="H622" s="19"/>
      <c r="I622" s="407">
        <f t="shared" si="65"/>
        <v>351</v>
      </c>
      <c r="J622" s="177"/>
      <c r="K622" s="177"/>
      <c r="L622" s="177"/>
      <c r="M622" s="288">
        <f>IF(G622&gt;$G$264,"",(SUM(O$269)-SUM(O$271:O621))*(M$269/12))</f>
        <v>32.57558000096607</v>
      </c>
      <c r="N622" s="288"/>
      <c r="O622" s="408">
        <f t="shared" si="64"/>
        <v>854.12371219432521</v>
      </c>
      <c r="P622" s="148"/>
      <c r="Q622" s="177"/>
      <c r="R622" s="177"/>
      <c r="S622" s="177"/>
      <c r="T622" s="148"/>
      <c r="U622" s="148"/>
      <c r="V622" s="148"/>
      <c r="W622" s="148"/>
      <c r="X622" s="148"/>
      <c r="Y622" s="148"/>
      <c r="Z622" s="148"/>
      <c r="AA622" s="148"/>
      <c r="AB622" s="148"/>
      <c r="AC622" s="148"/>
      <c r="AD622" s="148"/>
      <c r="AE622" s="148"/>
      <c r="AF622" s="148"/>
      <c r="AG622" s="148"/>
      <c r="AH622" s="148"/>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c r="BI622" s="148"/>
      <c r="BJ622" s="148"/>
      <c r="BK622" s="148"/>
    </row>
    <row r="623" spans="1:63" hidden="1" x14ac:dyDescent="0.25">
      <c r="A623" s="19"/>
      <c r="E623" s="138">
        <f t="shared" si="62"/>
        <v>52536</v>
      </c>
      <c r="F623" s="63">
        <f t="shared" si="61"/>
        <v>2043</v>
      </c>
      <c r="G623" s="124">
        <f t="shared" si="63"/>
        <v>30</v>
      </c>
      <c r="H623" s="19"/>
      <c r="I623" s="407">
        <f t="shared" si="65"/>
        <v>352</v>
      </c>
      <c r="J623" s="177"/>
      <c r="K623" s="177"/>
      <c r="L623" s="177"/>
      <c r="M623" s="288">
        <f>IF(G623&gt;$G$264,"",(SUM(O$269)-SUM(O$271:O622))*(M$269/12))</f>
        <v>29.372616080237346</v>
      </c>
      <c r="N623" s="288"/>
      <c r="O623" s="408">
        <f t="shared" si="64"/>
        <v>857.32667611505394</v>
      </c>
      <c r="P623" s="148"/>
      <c r="Q623" s="177"/>
      <c r="R623" s="177"/>
      <c r="S623" s="177"/>
      <c r="T623" s="148"/>
      <c r="U623" s="148"/>
      <c r="V623" s="148"/>
      <c r="W623" s="148"/>
      <c r="X623" s="148"/>
      <c r="Y623" s="148"/>
      <c r="Z623" s="148"/>
      <c r="AA623" s="148"/>
      <c r="AB623" s="148"/>
      <c r="AC623" s="148"/>
      <c r="AD623" s="148"/>
      <c r="AE623" s="148"/>
      <c r="AF623" s="148"/>
      <c r="AG623" s="148"/>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c r="BI623" s="148"/>
      <c r="BJ623" s="148"/>
      <c r="BK623" s="148"/>
    </row>
    <row r="624" spans="1:63" hidden="1" x14ac:dyDescent="0.25">
      <c r="A624" s="19"/>
      <c r="E624" s="138">
        <f t="shared" si="62"/>
        <v>52566</v>
      </c>
      <c r="F624" s="63">
        <f t="shared" si="61"/>
        <v>2043</v>
      </c>
      <c r="G624" s="124">
        <f t="shared" si="63"/>
        <v>30</v>
      </c>
      <c r="H624" s="19"/>
      <c r="I624" s="407">
        <f t="shared" si="65"/>
        <v>353</v>
      </c>
      <c r="J624" s="177"/>
      <c r="K624" s="177"/>
      <c r="L624" s="177"/>
      <c r="M624" s="288">
        <f>IF(G624&gt;$G$264,"",(SUM(O$269)-SUM(O$271:O623))*(M$269/12))</f>
        <v>26.157641044805931</v>
      </c>
      <c r="N624" s="288"/>
      <c r="O624" s="408">
        <f t="shared" si="64"/>
        <v>860.54165115048534</v>
      </c>
      <c r="P624" s="148"/>
      <c r="Q624" s="177"/>
      <c r="R624" s="177"/>
      <c r="S624" s="177"/>
      <c r="T624" s="148"/>
      <c r="U624" s="148"/>
      <c r="V624" s="148"/>
      <c r="W624" s="148"/>
      <c r="X624" s="148"/>
      <c r="Y624" s="148"/>
      <c r="Z624" s="148"/>
      <c r="AA624" s="148"/>
      <c r="AB624" s="148"/>
      <c r="AC624" s="148"/>
      <c r="AD624" s="148"/>
      <c r="AE624" s="148"/>
      <c r="AF624" s="148"/>
      <c r="AG624" s="148"/>
      <c r="AH624" s="148"/>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c r="BI624" s="148"/>
      <c r="BJ624" s="148"/>
      <c r="BK624" s="148"/>
    </row>
    <row r="625" spans="1:63" hidden="1" x14ac:dyDescent="0.25">
      <c r="A625" s="19"/>
      <c r="E625" s="138">
        <f t="shared" si="62"/>
        <v>52597</v>
      </c>
      <c r="F625" s="63">
        <f t="shared" si="61"/>
        <v>2044</v>
      </c>
      <c r="G625" s="124">
        <f t="shared" si="63"/>
        <v>30</v>
      </c>
      <c r="H625" s="19"/>
      <c r="I625" s="407">
        <f t="shared" si="65"/>
        <v>354</v>
      </c>
      <c r="J625" s="177"/>
      <c r="K625" s="177"/>
      <c r="L625" s="177"/>
      <c r="M625" s="288">
        <f>IF(G625&gt;$G$264,"",(SUM(O$269)-SUM(O$271:O624))*(M$269/12))</f>
        <v>22.930609852991655</v>
      </c>
      <c r="N625" s="288"/>
      <c r="O625" s="408">
        <f t="shared" si="64"/>
        <v>863.7686823422996</v>
      </c>
      <c r="P625" s="148"/>
      <c r="Q625" s="177"/>
      <c r="R625" s="177"/>
      <c r="S625" s="177"/>
      <c r="T625" s="148"/>
      <c r="U625" s="148"/>
      <c r="V625" s="148"/>
      <c r="W625" s="148"/>
      <c r="X625" s="148"/>
      <c r="Y625" s="148"/>
      <c r="Z625" s="148"/>
      <c r="AA625" s="148"/>
      <c r="AB625" s="148"/>
      <c r="AC625" s="148"/>
      <c r="AD625" s="148"/>
      <c r="AE625" s="148"/>
      <c r="AF625" s="148"/>
      <c r="AG625" s="148"/>
      <c r="AH625" s="148"/>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c r="BI625" s="148"/>
      <c r="BJ625" s="148"/>
      <c r="BK625" s="148"/>
    </row>
    <row r="626" spans="1:63" hidden="1" x14ac:dyDescent="0.25">
      <c r="A626" s="19"/>
      <c r="E626" s="138">
        <f t="shared" si="62"/>
        <v>52628</v>
      </c>
      <c r="F626" s="63">
        <f t="shared" si="61"/>
        <v>2044</v>
      </c>
      <c r="G626" s="124">
        <f t="shared" si="63"/>
        <v>30</v>
      </c>
      <c r="H626" s="19"/>
      <c r="I626" s="407">
        <f t="shared" si="65"/>
        <v>355</v>
      </c>
      <c r="J626" s="177"/>
      <c r="K626" s="177"/>
      <c r="L626" s="177"/>
      <c r="M626" s="288">
        <f>IF(G626&gt;$G$264,"",(SUM(O$269)-SUM(O$271:O625))*(M$269/12))</f>
        <v>19.691477294207978</v>
      </c>
      <c r="N626" s="288"/>
      <c r="O626" s="408">
        <f t="shared" si="64"/>
        <v>867.00781490108329</v>
      </c>
      <c r="P626" s="148"/>
      <c r="Q626" s="177"/>
      <c r="R626" s="177"/>
      <c r="S626" s="177"/>
      <c r="T626" s="148"/>
      <c r="U626" s="148"/>
      <c r="V626" s="148"/>
      <c r="W626" s="148"/>
      <c r="X626" s="148"/>
      <c r="Y626" s="148"/>
      <c r="Z626" s="148"/>
      <c r="AA626" s="148"/>
      <c r="AB626" s="148"/>
      <c r="AC626" s="148"/>
      <c r="AD626" s="148"/>
      <c r="AE626" s="148"/>
      <c r="AF626" s="148"/>
      <c r="AG626" s="148"/>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c r="BI626" s="148"/>
      <c r="BJ626" s="148"/>
      <c r="BK626" s="148"/>
    </row>
    <row r="627" spans="1:63" hidden="1" x14ac:dyDescent="0.25">
      <c r="A627" s="19"/>
      <c r="E627" s="138">
        <f t="shared" si="62"/>
        <v>52657</v>
      </c>
      <c r="F627" s="63">
        <f t="shared" si="61"/>
        <v>2044</v>
      </c>
      <c r="G627" s="124">
        <f t="shared" si="63"/>
        <v>30</v>
      </c>
      <c r="H627" s="19"/>
      <c r="I627" s="407">
        <f t="shared" si="65"/>
        <v>356</v>
      </c>
      <c r="J627" s="177"/>
      <c r="K627" s="177"/>
      <c r="L627" s="177"/>
      <c r="M627" s="288">
        <f>IF(G627&gt;$G$264,"",(SUM(O$269)-SUM(O$271:O626))*(M$269/12))</f>
        <v>16.440197988328872</v>
      </c>
      <c r="N627" s="288"/>
      <c r="O627" s="408">
        <f t="shared" si="64"/>
        <v>870.25909420696235</v>
      </c>
      <c r="P627" s="148"/>
      <c r="Q627" s="177"/>
      <c r="R627" s="177"/>
      <c r="S627" s="177"/>
      <c r="T627" s="148"/>
      <c r="U627" s="148"/>
      <c r="V627" s="148"/>
      <c r="W627" s="148"/>
      <c r="X627" s="148"/>
      <c r="Y627" s="148"/>
      <c r="Z627" s="148"/>
      <c r="AA627" s="148"/>
      <c r="AB627" s="148"/>
      <c r="AC627" s="148"/>
      <c r="AD627" s="148"/>
      <c r="AE627" s="148"/>
      <c r="AF627" s="148"/>
      <c r="AG627" s="148"/>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c r="BI627" s="148"/>
      <c r="BJ627" s="148"/>
      <c r="BK627" s="148"/>
    </row>
    <row r="628" spans="1:63" hidden="1" x14ac:dyDescent="0.25">
      <c r="A628" s="19"/>
      <c r="E628" s="138">
        <f t="shared" si="62"/>
        <v>52688</v>
      </c>
      <c r="F628" s="63">
        <f t="shared" si="61"/>
        <v>2044</v>
      </c>
      <c r="G628" s="124">
        <f t="shared" si="63"/>
        <v>30</v>
      </c>
      <c r="H628" s="19"/>
      <c r="I628" s="407">
        <f t="shared" si="65"/>
        <v>357</v>
      </c>
      <c r="J628" s="177"/>
      <c r="K628" s="177"/>
      <c r="L628" s="177"/>
      <c r="M628" s="288">
        <f>IF(G628&gt;$G$264,"",(SUM(O$269)-SUM(O$271:O627))*(M$269/12))</f>
        <v>13.176726385052753</v>
      </c>
      <c r="N628" s="288"/>
      <c r="O628" s="408">
        <f t="shared" si="64"/>
        <v>873.52256581023846</v>
      </c>
      <c r="P628" s="148"/>
      <c r="Q628" s="177"/>
      <c r="R628" s="177"/>
      <c r="S628" s="177"/>
      <c r="T628" s="148"/>
      <c r="U628" s="148"/>
      <c r="V628" s="148"/>
      <c r="W628" s="148"/>
      <c r="X628" s="148"/>
      <c r="Y628" s="148"/>
      <c r="Z628" s="148"/>
      <c r="AA628" s="148"/>
      <c r="AB628" s="148"/>
      <c r="AC628" s="148"/>
      <c r="AD628" s="148"/>
      <c r="AE628" s="148"/>
      <c r="AF628" s="148"/>
      <c r="AG628" s="148"/>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c r="BI628" s="148"/>
      <c r="BJ628" s="148"/>
      <c r="BK628" s="148"/>
    </row>
    <row r="629" spans="1:63" hidden="1" x14ac:dyDescent="0.25">
      <c r="A629" s="19"/>
      <c r="E629" s="138">
        <f t="shared" si="62"/>
        <v>52718</v>
      </c>
      <c r="F629" s="63">
        <f t="shared" si="61"/>
        <v>2044</v>
      </c>
      <c r="G629" s="124">
        <f t="shared" si="63"/>
        <v>30</v>
      </c>
      <c r="H629" s="19"/>
      <c r="I629" s="407">
        <f t="shared" si="65"/>
        <v>358</v>
      </c>
      <c r="J629" s="177"/>
      <c r="K629" s="177"/>
      <c r="L629" s="177"/>
      <c r="M629" s="288">
        <f>IF(G629&gt;$G$264,"",(SUM(O$269)-SUM(O$271:O628))*(M$269/12))</f>
        <v>9.9010167632643427</v>
      </c>
      <c r="N629" s="288"/>
      <c r="O629" s="408">
        <f t="shared" si="64"/>
        <v>876.79827543202691</v>
      </c>
      <c r="P629" s="148"/>
      <c r="Q629" s="177"/>
      <c r="R629" s="177"/>
      <c r="S629" s="177"/>
      <c r="T629" s="148"/>
      <c r="U629" s="148"/>
      <c r="V629" s="148"/>
      <c r="W629" s="148"/>
      <c r="X629" s="148"/>
      <c r="Y629" s="148"/>
      <c r="Z629" s="148"/>
      <c r="AA629" s="148"/>
      <c r="AB629" s="148"/>
      <c r="AC629" s="148"/>
      <c r="AD629" s="148"/>
      <c r="AE629" s="148"/>
      <c r="AF629" s="148"/>
      <c r="AG629" s="148"/>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c r="BI629" s="148"/>
      <c r="BJ629" s="148"/>
      <c r="BK629" s="148"/>
    </row>
    <row r="630" spans="1:63" hidden="1" x14ac:dyDescent="0.25">
      <c r="A630" s="19"/>
      <c r="E630" s="138">
        <f t="shared" si="62"/>
        <v>52749</v>
      </c>
      <c r="F630" s="63">
        <f t="shared" si="61"/>
        <v>2044</v>
      </c>
      <c r="G630" s="124">
        <f t="shared" si="63"/>
        <v>30</v>
      </c>
      <c r="H630" s="19"/>
      <c r="I630" s="407">
        <f t="shared" si="65"/>
        <v>359</v>
      </c>
      <c r="J630" s="177"/>
      <c r="K630" s="177"/>
      <c r="L630" s="177"/>
      <c r="M630" s="288">
        <f>IF(G630&gt;$G$264,"",(SUM(O$269)-SUM(O$271:O629))*(M$269/12))</f>
        <v>6.613023230394246</v>
      </c>
      <c r="N630" s="288"/>
      <c r="O630" s="408">
        <f t="shared" si="64"/>
        <v>880.08626896489704</v>
      </c>
      <c r="P630" s="148"/>
      <c r="Q630" s="177"/>
      <c r="R630" s="177"/>
      <c r="S630" s="177"/>
      <c r="T630" s="148"/>
      <c r="U630" s="148"/>
      <c r="V630" s="148"/>
      <c r="W630" s="148"/>
      <c r="X630" s="148"/>
      <c r="Y630" s="148"/>
      <c r="Z630" s="148"/>
      <c r="AA630" s="148"/>
      <c r="AB630" s="148"/>
      <c r="AC630" s="148"/>
      <c r="AD630" s="148"/>
      <c r="AE630" s="148"/>
      <c r="AF630" s="148"/>
      <c r="AG630" s="148"/>
      <c r="AH630" s="148"/>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c r="BI630" s="148"/>
      <c r="BJ630" s="148"/>
      <c r="BK630" s="148"/>
    </row>
    <row r="631" spans="1:63" hidden="1" x14ac:dyDescent="0.25">
      <c r="A631" s="19"/>
      <c r="E631" s="138">
        <f t="shared" si="62"/>
        <v>52779</v>
      </c>
      <c r="F631" s="63">
        <f t="shared" si="61"/>
        <v>2044</v>
      </c>
      <c r="G631" s="124">
        <f t="shared" si="63"/>
        <v>30</v>
      </c>
      <c r="H631" s="19"/>
      <c r="I631" s="407">
        <f t="shared" si="65"/>
        <v>360</v>
      </c>
      <c r="J631" s="177"/>
      <c r="K631" s="177"/>
      <c r="L631" s="177"/>
      <c r="M631" s="288">
        <f>IF(G631&gt;$G$264,"",(SUM(O$269)-SUM(O$271:O630))*(M$269/12))</f>
        <v>3.312699721775898</v>
      </c>
      <c r="N631" s="288"/>
      <c r="O631" s="408">
        <f t="shared" si="64"/>
        <v>883.38659247351541</v>
      </c>
      <c r="P631" s="148"/>
      <c r="Q631" s="177"/>
      <c r="R631" s="177"/>
      <c r="S631" s="177"/>
      <c r="T631" s="148"/>
      <c r="U631" s="148"/>
      <c r="V631" s="148"/>
      <c r="W631" s="148"/>
      <c r="X631" s="148"/>
      <c r="Y631" s="148"/>
      <c r="Z631" s="148"/>
      <c r="AA631" s="148"/>
      <c r="AB631" s="148"/>
      <c r="AC631" s="148"/>
      <c r="AD631" s="148"/>
      <c r="AE631" s="148"/>
      <c r="AF631" s="148"/>
      <c r="AG631" s="148"/>
      <c r="AH631" s="148"/>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c r="BI631" s="148"/>
      <c r="BJ631" s="148"/>
      <c r="BK631" s="148"/>
    </row>
    <row r="632" spans="1:63" hidden="1" x14ac:dyDescent="0.25">
      <c r="A632" s="19"/>
      <c r="G632" s="124"/>
      <c r="H632" s="19"/>
      <c r="I632" s="407"/>
      <c r="J632" s="177"/>
      <c r="K632" s="177"/>
      <c r="L632" s="177"/>
      <c r="M632" s="148"/>
      <c r="N632" s="148"/>
      <c r="O632" s="148"/>
      <c r="P632" s="148"/>
      <c r="Q632" s="177"/>
      <c r="R632" s="177"/>
      <c r="S632" s="177"/>
      <c r="T632" s="148"/>
      <c r="U632" s="148"/>
      <c r="V632" s="148"/>
      <c r="W632" s="148"/>
      <c r="X632" s="148"/>
      <c r="Y632" s="148"/>
      <c r="Z632" s="148"/>
      <c r="AA632" s="148"/>
      <c r="AB632" s="148"/>
      <c r="AC632" s="148"/>
      <c r="AD632" s="148"/>
      <c r="AE632" s="148"/>
      <c r="AF632" s="148"/>
      <c r="AG632" s="148"/>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c r="BI632" s="148"/>
      <c r="BJ632" s="148"/>
      <c r="BK632" s="148"/>
    </row>
    <row r="633" spans="1:63" hidden="1" x14ac:dyDescent="0.25">
      <c r="A633" s="19"/>
      <c r="G633" s="124"/>
      <c r="H633" s="19"/>
      <c r="I633" s="407"/>
      <c r="J633" s="177"/>
      <c r="K633" s="177"/>
      <c r="L633" s="177"/>
      <c r="M633" s="397">
        <f>SUM(M272:M632)</f>
        <v>144211.74519030488</v>
      </c>
      <c r="N633" s="148"/>
      <c r="O633" s="409">
        <f>SUM(O272:O632)</f>
        <v>174999.99999999994</v>
      </c>
      <c r="P633" s="148"/>
      <c r="Q633" s="177"/>
      <c r="R633" s="177"/>
      <c r="S633" s="177"/>
      <c r="T633" s="148"/>
      <c r="U633" s="148"/>
      <c r="V633" s="148"/>
      <c r="W633" s="148"/>
      <c r="X633" s="148"/>
      <c r="Y633" s="148"/>
      <c r="Z633" s="148"/>
      <c r="AA633" s="148"/>
      <c r="AB633" s="148"/>
      <c r="AC633" s="148"/>
      <c r="AD633" s="148"/>
      <c r="AE633" s="148"/>
      <c r="AF633" s="148"/>
      <c r="AG633" s="148"/>
      <c r="AH633" s="148"/>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c r="BI633" s="148"/>
      <c r="BJ633" s="148"/>
      <c r="BK633" s="148"/>
    </row>
    <row r="634" spans="1:63" hidden="1" x14ac:dyDescent="0.25">
      <c r="A634" s="19"/>
      <c r="G634" s="124"/>
      <c r="H634" s="19"/>
      <c r="I634" s="407"/>
      <c r="J634" s="177"/>
      <c r="K634" s="177"/>
      <c r="L634" s="177"/>
      <c r="M634" s="148"/>
      <c r="N634" s="148"/>
      <c r="O634" s="148"/>
      <c r="P634" s="148"/>
      <c r="Q634" s="177"/>
      <c r="R634" s="177"/>
      <c r="S634" s="177"/>
      <c r="T634" s="148"/>
      <c r="U634" s="148"/>
      <c r="V634" s="148"/>
      <c r="W634" s="148"/>
      <c r="X634" s="148"/>
      <c r="Y634" s="148"/>
      <c r="Z634" s="148"/>
      <c r="AA634" s="148"/>
      <c r="AB634" s="148"/>
      <c r="AC634" s="148"/>
      <c r="AD634" s="148"/>
      <c r="AE634" s="148"/>
      <c r="AF634" s="148"/>
      <c r="AG634" s="148"/>
      <c r="AH634" s="148"/>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c r="BI634" s="148"/>
      <c r="BJ634" s="148"/>
      <c r="BK634" s="148"/>
    </row>
    <row r="635" spans="1:63" hidden="1" x14ac:dyDescent="0.25">
      <c r="A635" s="19"/>
      <c r="B635" s="99"/>
      <c r="C635" s="99"/>
      <c r="D635" s="99"/>
      <c r="E635" s="99"/>
      <c r="F635" s="99"/>
      <c r="G635" s="99"/>
      <c r="H635" s="19"/>
      <c r="I635" s="252"/>
      <c r="J635" s="177"/>
      <c r="K635" s="177"/>
      <c r="L635" s="177"/>
      <c r="M635" s="177"/>
      <c r="N635" s="177"/>
      <c r="O635" s="177"/>
      <c r="P635" s="177"/>
      <c r="Q635" s="177"/>
      <c r="R635" s="177"/>
      <c r="S635" s="177"/>
      <c r="T635" s="177"/>
      <c r="U635" s="177"/>
      <c r="V635" s="177"/>
      <c r="W635" s="177"/>
      <c r="X635" s="177"/>
      <c r="Y635" s="177"/>
      <c r="Z635" s="148"/>
      <c r="AA635" s="148"/>
      <c r="AB635" s="148"/>
      <c r="AC635" s="148"/>
      <c r="AD635" s="148"/>
      <c r="AE635" s="148"/>
      <c r="AF635" s="177"/>
      <c r="AG635" s="177"/>
      <c r="AH635" s="177"/>
      <c r="AI635" s="177"/>
      <c r="AJ635" s="177"/>
      <c r="AK635" s="177"/>
      <c r="AL635" s="177"/>
      <c r="AM635" s="177"/>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c r="BI635" s="148"/>
      <c r="BJ635" s="148"/>
      <c r="BK635" s="148"/>
    </row>
    <row r="636" spans="1:63" hidden="1" x14ac:dyDescent="0.25">
      <c r="G636" s="124"/>
      <c r="I636" s="407"/>
      <c r="J636" s="177"/>
      <c r="K636" s="177"/>
      <c r="L636" s="177"/>
      <c r="M636" s="148"/>
      <c r="N636" s="148"/>
      <c r="O636" s="148"/>
      <c r="P636" s="148"/>
      <c r="Q636" s="177"/>
      <c r="R636" s="177"/>
      <c r="S636" s="177"/>
      <c r="T636" s="148"/>
      <c r="U636" s="148"/>
      <c r="V636" s="148"/>
      <c r="W636" s="148"/>
      <c r="X636" s="148"/>
      <c r="Y636" s="148"/>
      <c r="Z636" s="148"/>
      <c r="AA636" s="148"/>
      <c r="AB636" s="148"/>
      <c r="AC636" s="148"/>
      <c r="AD636" s="148"/>
      <c r="AE636" s="148"/>
      <c r="AF636" s="148"/>
      <c r="AG636" s="148"/>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c r="BI636" s="148"/>
      <c r="BJ636" s="148"/>
      <c r="BK636" s="148"/>
    </row>
    <row r="637" spans="1:63" hidden="1" x14ac:dyDescent="0.25">
      <c r="G637" s="124"/>
      <c r="I637" s="407"/>
      <c r="J637" s="177"/>
      <c r="K637" s="177"/>
      <c r="L637" s="177"/>
      <c r="M637" s="148"/>
      <c r="N637" s="148"/>
      <c r="O637" s="148"/>
      <c r="P637" s="148"/>
      <c r="Q637" s="177"/>
      <c r="R637" s="177"/>
      <c r="S637" s="177"/>
      <c r="T637" s="148"/>
      <c r="U637" s="148"/>
      <c r="V637" s="148"/>
      <c r="W637" s="148"/>
      <c r="X637" s="148"/>
      <c r="Y637" s="148"/>
      <c r="Z637" s="148"/>
      <c r="AA637" s="148"/>
      <c r="AB637" s="148"/>
      <c r="AC637" s="148"/>
      <c r="AD637" s="148"/>
      <c r="AE637" s="148"/>
      <c r="AF637" s="148"/>
      <c r="AG637" s="148"/>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c r="BI637" s="148"/>
      <c r="BJ637" s="148"/>
      <c r="BK637" s="148"/>
    </row>
    <row r="638" spans="1:63" hidden="1" x14ac:dyDescent="0.25">
      <c r="G638" s="124"/>
      <c r="I638" s="407"/>
      <c r="J638" s="177"/>
      <c r="K638" s="177"/>
      <c r="L638" s="177"/>
      <c r="M638" s="148"/>
      <c r="N638" s="148"/>
      <c r="O638" s="148"/>
      <c r="P638" s="148"/>
      <c r="Q638" s="177"/>
      <c r="R638" s="177"/>
      <c r="S638" s="177"/>
      <c r="T638" s="148"/>
      <c r="U638" s="148"/>
      <c r="V638" s="148"/>
      <c r="W638" s="148"/>
      <c r="X638" s="148"/>
      <c r="Y638" s="148"/>
      <c r="Z638" s="148"/>
      <c r="AA638" s="148"/>
      <c r="AB638" s="148"/>
      <c r="AC638" s="148"/>
      <c r="AD638" s="148"/>
      <c r="AE638" s="148"/>
      <c r="AF638" s="148"/>
      <c r="AG638" s="148"/>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c r="BI638" s="148"/>
      <c r="BJ638" s="148"/>
      <c r="BK638" s="148"/>
    </row>
    <row r="639" spans="1:63" hidden="1" x14ac:dyDescent="0.25">
      <c r="G639" s="124"/>
      <c r="I639" s="407"/>
      <c r="J639" s="177"/>
      <c r="K639" s="177"/>
      <c r="L639" s="177"/>
      <c r="M639" s="148"/>
      <c r="N639" s="148"/>
      <c r="O639" s="148"/>
      <c r="P639" s="148"/>
      <c r="Q639" s="177"/>
      <c r="R639" s="177"/>
      <c r="S639" s="177"/>
      <c r="T639" s="148"/>
      <c r="U639" s="148"/>
      <c r="V639" s="148"/>
      <c r="W639" s="148"/>
      <c r="X639" s="148"/>
      <c r="Y639" s="148"/>
      <c r="Z639" s="148"/>
      <c r="AA639" s="148"/>
      <c r="AB639" s="148"/>
      <c r="AC639" s="148"/>
      <c r="AD639" s="148"/>
      <c r="AE639" s="148"/>
      <c r="AF639" s="148"/>
      <c r="AG639" s="148"/>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c r="BI639" s="148"/>
      <c r="BJ639" s="148"/>
      <c r="BK639" s="148"/>
    </row>
    <row r="640" spans="1:63" hidden="1" x14ac:dyDescent="0.25">
      <c r="G640" s="124"/>
      <c r="I640" s="407"/>
      <c r="J640" s="177"/>
      <c r="K640" s="177"/>
      <c r="L640" s="177"/>
      <c r="M640" s="148"/>
      <c r="N640" s="148"/>
      <c r="O640" s="148"/>
      <c r="P640" s="148"/>
      <c r="Q640" s="177"/>
      <c r="R640" s="177"/>
      <c r="S640" s="177"/>
      <c r="T640" s="148"/>
      <c r="U640" s="148"/>
      <c r="V640" s="148"/>
      <c r="W640" s="148"/>
      <c r="X640" s="148"/>
      <c r="Y640" s="148"/>
      <c r="Z640" s="148"/>
      <c r="AA640" s="148"/>
      <c r="AB640" s="148"/>
      <c r="AC640" s="148"/>
      <c r="AD640" s="148"/>
      <c r="AE640" s="148"/>
      <c r="AF640" s="148"/>
      <c r="AG640" s="148"/>
      <c r="AH640" s="148"/>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c r="BI640" s="148"/>
      <c r="BJ640" s="148"/>
      <c r="BK640" s="148"/>
    </row>
    <row r="641" spans="7:63" hidden="1" x14ac:dyDescent="0.25">
      <c r="G641" s="124"/>
      <c r="I641" s="407"/>
      <c r="J641" s="177"/>
      <c r="K641" s="177"/>
      <c r="L641" s="177"/>
      <c r="M641" s="148"/>
      <c r="N641" s="148"/>
      <c r="O641" s="148"/>
      <c r="P641" s="148"/>
      <c r="Q641" s="177"/>
      <c r="R641" s="177"/>
      <c r="S641" s="177"/>
      <c r="T641" s="148"/>
      <c r="U641" s="148"/>
      <c r="V641" s="148"/>
      <c r="W641" s="148"/>
      <c r="X641" s="148"/>
      <c r="Y641" s="148"/>
      <c r="Z641" s="148"/>
      <c r="AA641" s="148"/>
      <c r="AB641" s="148"/>
      <c r="AC641" s="148"/>
      <c r="AD641" s="148"/>
      <c r="AE641" s="148"/>
      <c r="AF641" s="148"/>
      <c r="AG641" s="148"/>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c r="BI641" s="148"/>
      <c r="BJ641" s="148"/>
      <c r="BK641" s="148"/>
    </row>
    <row r="642" spans="7:63" hidden="1" x14ac:dyDescent="0.25">
      <c r="G642" s="124"/>
      <c r="I642" s="407"/>
      <c r="J642" s="177"/>
      <c r="K642" s="177"/>
      <c r="L642" s="177"/>
      <c r="M642" s="148"/>
      <c r="N642" s="148"/>
      <c r="O642" s="148"/>
      <c r="P642" s="148"/>
      <c r="Q642" s="177"/>
      <c r="R642" s="177"/>
      <c r="S642" s="177"/>
      <c r="T642" s="148"/>
      <c r="U642" s="148"/>
      <c r="V642" s="148"/>
      <c r="W642" s="148"/>
      <c r="X642" s="148"/>
      <c r="Y642" s="148"/>
      <c r="Z642" s="148"/>
      <c r="AA642" s="148"/>
      <c r="AB642" s="148"/>
      <c r="AC642" s="148"/>
      <c r="AD642" s="148"/>
      <c r="AE642" s="148"/>
      <c r="AF642" s="148"/>
      <c r="AG642" s="148"/>
      <c r="AH642" s="148"/>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c r="BI642" s="148"/>
      <c r="BJ642" s="148"/>
      <c r="BK642" s="148"/>
    </row>
    <row r="643" spans="7:63" hidden="1" x14ac:dyDescent="0.25">
      <c r="G643" s="124"/>
      <c r="I643" s="407"/>
      <c r="J643" s="177"/>
      <c r="K643" s="177"/>
      <c r="L643" s="177"/>
      <c r="M643" s="148"/>
      <c r="N643" s="148"/>
      <c r="O643" s="148"/>
      <c r="P643" s="148"/>
      <c r="Q643" s="177"/>
      <c r="R643" s="177"/>
      <c r="S643" s="177"/>
      <c r="T643" s="148"/>
      <c r="U643" s="148"/>
      <c r="V643" s="148"/>
      <c r="W643" s="148"/>
      <c r="X643" s="148"/>
      <c r="Y643" s="148"/>
      <c r="Z643" s="148"/>
      <c r="AA643" s="148"/>
      <c r="AB643" s="148"/>
      <c r="AC643" s="148"/>
      <c r="AD643" s="148"/>
      <c r="AE643" s="148"/>
      <c r="AF643" s="148"/>
      <c r="AG643" s="148"/>
      <c r="AH643" s="148"/>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c r="BI643" s="148"/>
      <c r="BJ643" s="148"/>
      <c r="BK643" s="148"/>
    </row>
    <row r="644" spans="7:63" hidden="1" x14ac:dyDescent="0.25">
      <c r="G644" s="124"/>
      <c r="I644" s="407"/>
      <c r="J644" s="177"/>
      <c r="K644" s="177"/>
      <c r="L644" s="177"/>
      <c r="M644" s="148"/>
      <c r="N644" s="148"/>
      <c r="O644" s="148"/>
      <c r="P644" s="148"/>
      <c r="Q644" s="177"/>
      <c r="R644" s="177"/>
      <c r="S644" s="177"/>
      <c r="T644" s="148"/>
      <c r="U644" s="148"/>
      <c r="V644" s="148"/>
      <c r="W644" s="148"/>
      <c r="X644" s="148"/>
      <c r="Y644" s="148"/>
      <c r="Z644" s="148"/>
      <c r="AA644" s="148"/>
      <c r="AB644" s="148"/>
      <c r="AC644" s="148"/>
      <c r="AD644" s="148"/>
      <c r="AE644" s="148"/>
      <c r="AF644" s="148"/>
      <c r="AG644" s="148"/>
      <c r="AH644" s="148"/>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c r="BI644" s="148"/>
      <c r="BJ644" s="148"/>
      <c r="BK644" s="148"/>
    </row>
    <row r="645" spans="7:63" hidden="1" x14ac:dyDescent="0.25">
      <c r="G645" s="124"/>
      <c r="I645" s="407"/>
      <c r="J645" s="177"/>
      <c r="K645" s="177"/>
      <c r="L645" s="177"/>
      <c r="M645" s="148"/>
      <c r="N645" s="148"/>
      <c r="O645" s="148"/>
      <c r="P645" s="148"/>
      <c r="Q645" s="177"/>
      <c r="R645" s="177"/>
      <c r="S645" s="177"/>
      <c r="T645" s="148"/>
      <c r="U645" s="148"/>
      <c r="V645" s="148"/>
      <c r="W645" s="148"/>
      <c r="X645" s="148"/>
      <c r="Y645" s="148"/>
      <c r="Z645" s="148"/>
      <c r="AA645" s="148"/>
      <c r="AB645" s="148"/>
      <c r="AC645" s="148"/>
      <c r="AD645" s="148"/>
      <c r="AE645" s="148"/>
      <c r="AF645" s="148"/>
      <c r="AG645" s="148"/>
      <c r="AH645" s="148"/>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c r="BI645" s="148"/>
      <c r="BJ645" s="148"/>
      <c r="BK645" s="148"/>
    </row>
    <row r="646" spans="7:63" hidden="1" x14ac:dyDescent="0.25">
      <c r="G646" s="124"/>
      <c r="I646" s="407"/>
      <c r="J646" s="177"/>
      <c r="K646" s="177"/>
      <c r="L646" s="177"/>
      <c r="M646" s="148"/>
      <c r="N646" s="148"/>
      <c r="O646" s="148"/>
      <c r="P646" s="148"/>
      <c r="Q646" s="177"/>
      <c r="R646" s="177"/>
      <c r="S646" s="177"/>
      <c r="T646" s="148"/>
      <c r="U646" s="148"/>
      <c r="V646" s="148"/>
      <c r="W646" s="148"/>
      <c r="X646" s="148"/>
      <c r="Y646" s="148"/>
      <c r="Z646" s="148"/>
      <c r="AA646" s="148"/>
      <c r="AB646" s="148"/>
      <c r="AC646" s="148"/>
      <c r="AD646" s="148"/>
      <c r="AE646" s="148"/>
      <c r="AF646" s="148"/>
      <c r="AG646" s="148"/>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c r="BI646" s="148"/>
      <c r="BJ646" s="148"/>
      <c r="BK646" s="148"/>
    </row>
    <row r="647" spans="7:63" x14ac:dyDescent="0.25">
      <c r="G647" s="124"/>
      <c r="I647" s="407"/>
      <c r="J647" s="177"/>
      <c r="K647" s="177"/>
      <c r="L647" s="177"/>
      <c r="M647" s="148"/>
      <c r="N647" s="148"/>
      <c r="O647" s="148"/>
      <c r="P647" s="148"/>
      <c r="Q647" s="177"/>
      <c r="R647" s="177"/>
      <c r="S647" s="177"/>
      <c r="T647" s="148"/>
      <c r="U647" s="148"/>
      <c r="V647" s="148"/>
      <c r="W647" s="148"/>
      <c r="X647" s="148"/>
      <c r="Y647" s="148"/>
      <c r="Z647" s="148"/>
      <c r="AA647" s="148"/>
      <c r="AB647" s="148"/>
      <c r="AC647" s="148"/>
      <c r="AD647" s="148"/>
      <c r="AE647" s="148"/>
      <c r="AF647" s="148"/>
      <c r="AG647" s="148"/>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c r="BI647" s="148"/>
      <c r="BJ647" s="148"/>
      <c r="BK647" s="148"/>
    </row>
    <row r="648" spans="7:63" x14ac:dyDescent="0.25">
      <c r="G648" s="124"/>
      <c r="I648" s="407"/>
      <c r="J648" s="177"/>
      <c r="K648" s="177"/>
      <c r="L648" s="177"/>
      <c r="M648" s="148"/>
      <c r="N648" s="148"/>
      <c r="O648" s="148"/>
      <c r="P648" s="148"/>
      <c r="Q648" s="177"/>
      <c r="R648" s="177"/>
      <c r="S648" s="177"/>
      <c r="T648" s="148"/>
      <c r="U648" s="148"/>
      <c r="V648" s="148"/>
      <c r="W648" s="148"/>
      <c r="X648" s="148"/>
      <c r="Y648" s="148"/>
      <c r="Z648" s="148"/>
      <c r="AA648" s="148"/>
      <c r="AB648" s="148"/>
      <c r="AC648" s="148"/>
      <c r="AD648" s="148"/>
      <c r="AE648" s="148"/>
      <c r="AF648" s="148"/>
      <c r="AG648" s="148"/>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c r="BI648" s="148"/>
      <c r="BJ648" s="148"/>
      <c r="BK648" s="148"/>
    </row>
    <row r="649" spans="7:63" x14ac:dyDescent="0.25">
      <c r="G649" s="124"/>
      <c r="I649" s="407"/>
      <c r="J649" s="177"/>
      <c r="K649" s="177"/>
      <c r="L649" s="177"/>
      <c r="M649" s="148"/>
      <c r="N649" s="148"/>
      <c r="O649" s="148"/>
      <c r="P649" s="148"/>
      <c r="Q649" s="177"/>
      <c r="R649" s="177"/>
      <c r="S649" s="177"/>
      <c r="T649" s="148"/>
      <c r="U649" s="148"/>
      <c r="V649" s="148"/>
      <c r="W649" s="148"/>
      <c r="X649" s="148"/>
      <c r="Y649" s="148"/>
      <c r="Z649" s="148"/>
      <c r="AA649" s="148"/>
      <c r="AB649" s="148"/>
      <c r="AC649" s="148"/>
      <c r="AD649" s="148"/>
      <c r="AE649" s="148"/>
      <c r="AF649" s="148"/>
      <c r="AG649" s="148"/>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c r="BI649" s="148"/>
      <c r="BJ649" s="148"/>
      <c r="BK649" s="148"/>
    </row>
    <row r="650" spans="7:63" x14ac:dyDescent="0.25">
      <c r="G650" s="124"/>
      <c r="I650" s="407"/>
      <c r="J650" s="177"/>
      <c r="K650" s="177"/>
      <c r="L650" s="177"/>
      <c r="M650" s="148"/>
      <c r="N650" s="148"/>
      <c r="O650" s="148"/>
      <c r="P650" s="148"/>
      <c r="Q650" s="177"/>
      <c r="R650" s="177"/>
      <c r="S650" s="177"/>
      <c r="T650" s="148"/>
      <c r="U650" s="148"/>
      <c r="V650" s="148"/>
      <c r="W650" s="148"/>
      <c r="X650" s="148"/>
      <c r="Y650" s="148"/>
      <c r="Z650" s="148"/>
      <c r="AA650" s="148"/>
      <c r="AB650" s="148"/>
      <c r="AC650" s="148"/>
      <c r="AD650" s="148"/>
      <c r="AE650" s="148"/>
      <c r="AF650" s="148"/>
      <c r="AG650" s="148"/>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c r="BI650" s="148"/>
      <c r="BJ650" s="148"/>
      <c r="BK650" s="148"/>
    </row>
    <row r="651" spans="7:63" hidden="1" x14ac:dyDescent="0.25">
      <c r="G651" s="124"/>
      <c r="I651" s="407"/>
      <c r="J651" s="177"/>
      <c r="K651" s="177"/>
      <c r="L651" s="177"/>
      <c r="M651" s="148"/>
      <c r="N651" s="148"/>
      <c r="O651" s="148"/>
      <c r="P651" s="148"/>
      <c r="Q651" s="177"/>
      <c r="R651" s="177"/>
      <c r="S651" s="177"/>
      <c r="T651" s="148"/>
      <c r="U651" s="148"/>
      <c r="V651" s="148"/>
      <c r="W651" s="148"/>
      <c r="X651" s="148"/>
      <c r="Y651" s="148"/>
      <c r="Z651" s="148"/>
      <c r="AA651" s="148"/>
      <c r="AB651" s="148"/>
      <c r="AC651" s="148"/>
      <c r="AD651" s="148"/>
      <c r="AE651" s="148"/>
      <c r="AF651" s="148"/>
      <c r="AG651" s="148"/>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c r="BI651" s="148"/>
      <c r="BJ651" s="148"/>
      <c r="BK651" s="148"/>
    </row>
    <row r="652" spans="7:63" hidden="1" x14ac:dyDescent="0.25">
      <c r="G652" s="124"/>
      <c r="I652" s="407"/>
      <c r="J652" s="177"/>
      <c r="K652" s="177"/>
      <c r="L652" s="177"/>
      <c r="M652" s="148"/>
      <c r="N652" s="148"/>
      <c r="O652" s="148"/>
      <c r="P652" s="148"/>
      <c r="Q652" s="177"/>
      <c r="R652" s="177"/>
      <c r="S652" s="177"/>
      <c r="T652" s="148"/>
      <c r="U652" s="148"/>
      <c r="V652" s="148"/>
      <c r="W652" s="148"/>
      <c r="X652" s="148"/>
      <c r="Y652" s="148"/>
      <c r="Z652" s="148"/>
      <c r="AA652" s="148"/>
      <c r="AB652" s="148"/>
      <c r="AC652" s="148"/>
      <c r="AD652" s="148"/>
      <c r="AE652" s="148"/>
      <c r="AF652" s="148"/>
      <c r="AG652" s="148"/>
      <c r="AH652" s="148"/>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c r="BI652" s="148"/>
      <c r="BJ652" s="148"/>
      <c r="BK652" s="148"/>
    </row>
    <row r="653" spans="7:63" hidden="1" x14ac:dyDescent="0.25">
      <c r="G653" s="124"/>
      <c r="I653" s="407"/>
      <c r="J653" s="177"/>
      <c r="K653" s="177"/>
      <c r="L653" s="177"/>
      <c r="M653" s="148"/>
      <c r="N653" s="148"/>
      <c r="O653" s="148"/>
      <c r="P653" s="148"/>
      <c r="Q653" s="177"/>
      <c r="R653" s="177"/>
      <c r="S653" s="177"/>
      <c r="T653" s="148"/>
      <c r="U653" s="148"/>
      <c r="V653" s="148"/>
      <c r="W653" s="148"/>
      <c r="X653" s="148"/>
      <c r="Y653" s="148"/>
      <c r="Z653" s="148"/>
      <c r="AA653" s="148"/>
      <c r="AB653" s="148"/>
      <c r="AC653" s="148"/>
      <c r="AD653" s="148"/>
      <c r="AE653" s="148"/>
      <c r="AF653" s="148"/>
      <c r="AG653" s="148"/>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c r="BI653" s="148"/>
      <c r="BJ653" s="148"/>
      <c r="BK653" s="148"/>
    </row>
    <row r="654" spans="7:63" hidden="1" x14ac:dyDescent="0.25">
      <c r="G654" s="124"/>
      <c r="I654" s="139"/>
      <c r="J654" s="12"/>
      <c r="K654" s="12"/>
      <c r="L654" s="12"/>
      <c r="Q654" s="12"/>
      <c r="R654" s="12"/>
      <c r="S654" s="12"/>
      <c r="V654" s="148"/>
      <c r="W654" s="148"/>
      <c r="X654" s="148"/>
      <c r="Y654" s="148"/>
      <c r="Z654" s="148"/>
      <c r="AA654" s="148"/>
      <c r="AB654" s="148"/>
      <c r="AC654" s="148"/>
      <c r="AD654" s="148"/>
      <c r="AE654" s="148"/>
      <c r="AF654" s="148"/>
      <c r="AG654" s="148"/>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c r="BI654" s="148"/>
      <c r="BJ654" s="148"/>
    </row>
    <row r="655" spans="7:63" hidden="1" x14ac:dyDescent="0.25">
      <c r="G655" s="124"/>
      <c r="I655" s="139"/>
      <c r="J655" s="12"/>
      <c r="K655" s="12"/>
      <c r="L655" s="12"/>
      <c r="Q655" s="12"/>
      <c r="R655" s="12"/>
      <c r="S655" s="12"/>
      <c r="V655" s="148"/>
      <c r="W655" s="148"/>
      <c r="X655" s="148"/>
      <c r="Y655" s="148"/>
      <c r="Z655" s="148"/>
      <c r="AA655" s="148"/>
      <c r="AB655" s="148"/>
      <c r="AC655" s="148"/>
      <c r="AD655" s="148"/>
      <c r="AE655" s="148"/>
      <c r="AF655" s="148"/>
      <c r="AG655" s="148"/>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c r="BI655" s="148"/>
      <c r="BJ655" s="148"/>
    </row>
    <row r="656" spans="7:63" hidden="1" x14ac:dyDescent="0.25">
      <c r="G656" s="124"/>
      <c r="I656" s="139"/>
      <c r="J656" s="12"/>
      <c r="K656" s="12"/>
      <c r="L656" s="12"/>
      <c r="Q656" s="12"/>
      <c r="R656" s="12"/>
      <c r="S656" s="12"/>
      <c r="V656" s="148"/>
      <c r="W656" s="148"/>
      <c r="X656" s="148"/>
      <c r="Y656" s="148"/>
      <c r="Z656" s="148"/>
      <c r="AA656" s="148"/>
      <c r="AB656" s="148"/>
      <c r="AC656" s="148"/>
      <c r="AD656" s="148"/>
      <c r="AE656" s="148"/>
      <c r="AF656" s="148"/>
      <c r="AG656" s="148"/>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c r="BI656" s="148"/>
      <c r="BJ656" s="148"/>
    </row>
    <row r="657" spans="7:62" hidden="1" x14ac:dyDescent="0.25">
      <c r="G657" s="124"/>
      <c r="I657" s="139"/>
      <c r="J657" s="12"/>
      <c r="K657" s="12"/>
      <c r="L657" s="12"/>
      <c r="Q657" s="12"/>
      <c r="R657" s="12"/>
      <c r="S657" s="12"/>
      <c r="V657" s="148"/>
      <c r="W657" s="148"/>
      <c r="X657" s="148"/>
      <c r="Y657" s="148"/>
      <c r="Z657" s="148"/>
      <c r="AA657" s="148"/>
      <c r="AB657" s="148"/>
      <c r="AC657" s="148"/>
      <c r="AD657" s="148"/>
      <c r="AE657" s="148"/>
      <c r="AF657" s="148"/>
      <c r="AG657" s="148"/>
      <c r="AH657" s="148"/>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c r="BI657" s="148"/>
      <c r="BJ657" s="148"/>
    </row>
    <row r="658" spans="7:62" hidden="1" x14ac:dyDescent="0.25">
      <c r="G658" s="124"/>
      <c r="I658" s="139"/>
      <c r="J658" s="12"/>
      <c r="K658" s="12"/>
      <c r="L658" s="12"/>
      <c r="Q658" s="12"/>
      <c r="R658" s="12"/>
      <c r="S658" s="12"/>
      <c r="V658" s="148"/>
      <c r="W658" s="148"/>
      <c r="X658" s="148"/>
      <c r="Y658" s="148"/>
      <c r="Z658" s="148"/>
      <c r="AA658" s="148"/>
      <c r="AB658" s="148"/>
      <c r="AC658" s="148"/>
      <c r="AD658" s="148"/>
      <c r="AE658" s="148"/>
      <c r="AF658" s="148"/>
      <c r="AG658" s="148"/>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c r="BI658" s="148"/>
      <c r="BJ658" s="148"/>
    </row>
    <row r="659" spans="7:62" hidden="1" x14ac:dyDescent="0.25">
      <c r="G659" s="124"/>
      <c r="I659" s="139"/>
      <c r="J659" s="12"/>
      <c r="K659" s="12"/>
      <c r="L659" s="12"/>
      <c r="Q659" s="12"/>
      <c r="R659" s="12"/>
      <c r="S659" s="12"/>
      <c r="V659" s="148"/>
      <c r="W659" s="148"/>
      <c r="X659" s="148"/>
      <c r="Y659" s="148"/>
      <c r="Z659" s="148"/>
      <c r="AA659" s="148"/>
      <c r="AB659" s="148"/>
      <c r="AC659" s="148"/>
      <c r="AD659" s="148"/>
      <c r="AE659" s="148"/>
      <c r="AF659" s="148"/>
      <c r="AG659" s="148"/>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c r="BI659" s="148"/>
      <c r="BJ659" s="148"/>
    </row>
    <row r="660" spans="7:62" hidden="1" x14ac:dyDescent="0.25">
      <c r="G660" s="124"/>
      <c r="I660" s="139"/>
      <c r="J660" s="12"/>
      <c r="K660" s="12"/>
      <c r="L660" s="12"/>
      <c r="Q660" s="12"/>
      <c r="R660" s="12"/>
      <c r="S660" s="12"/>
      <c r="V660" s="148"/>
      <c r="W660" s="148"/>
      <c r="X660" s="148"/>
      <c r="Y660" s="148"/>
      <c r="Z660" s="148"/>
      <c r="AA660" s="148"/>
      <c r="AB660" s="148"/>
      <c r="AC660" s="148"/>
      <c r="AD660" s="148"/>
      <c r="AE660" s="148"/>
      <c r="AF660" s="148"/>
      <c r="AG660" s="148"/>
      <c r="AH660" s="148"/>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c r="BI660" s="148"/>
      <c r="BJ660" s="148"/>
    </row>
    <row r="661" spans="7:62" hidden="1" x14ac:dyDescent="0.25">
      <c r="G661" s="124"/>
      <c r="I661" s="139"/>
      <c r="J661" s="12"/>
      <c r="K661" s="12"/>
      <c r="L661" s="12"/>
      <c r="Q661" s="12"/>
      <c r="R661" s="12"/>
      <c r="S661" s="12"/>
      <c r="V661" s="148"/>
      <c r="W661" s="148"/>
      <c r="X661" s="148"/>
      <c r="Y661" s="148"/>
      <c r="Z661" s="148"/>
      <c r="AA661" s="148"/>
      <c r="AB661" s="148"/>
      <c r="AC661" s="148"/>
      <c r="AD661" s="148"/>
      <c r="AE661" s="148"/>
      <c r="AF661" s="148"/>
      <c r="AG661" s="148"/>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c r="BI661" s="148"/>
      <c r="BJ661" s="148"/>
    </row>
    <row r="662" spans="7:62" hidden="1" x14ac:dyDescent="0.25">
      <c r="G662" s="124"/>
      <c r="I662" s="139"/>
      <c r="J662" s="12"/>
      <c r="K662" s="12"/>
      <c r="L662" s="12"/>
      <c r="Q662" s="12"/>
      <c r="R662" s="12"/>
      <c r="S662" s="12"/>
      <c r="V662" s="148"/>
      <c r="W662" s="148"/>
      <c r="X662" s="148"/>
      <c r="Y662" s="148"/>
      <c r="Z662" s="148"/>
      <c r="AA662" s="148"/>
      <c r="AB662" s="148"/>
      <c r="AC662" s="148"/>
      <c r="AD662" s="148"/>
      <c r="AE662" s="148"/>
      <c r="AF662" s="148"/>
      <c r="AG662" s="148"/>
      <c r="AH662" s="148"/>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c r="BI662" s="148"/>
      <c r="BJ662" s="148"/>
    </row>
    <row r="663" spans="7:62" hidden="1" x14ac:dyDescent="0.25">
      <c r="G663" s="124"/>
      <c r="I663" s="139"/>
      <c r="J663" s="12"/>
      <c r="K663" s="12"/>
      <c r="L663" s="12"/>
      <c r="Q663" s="12"/>
      <c r="R663" s="12"/>
      <c r="S663" s="12"/>
      <c r="V663" s="148"/>
      <c r="W663" s="148"/>
      <c r="X663" s="148"/>
      <c r="Y663" s="148"/>
      <c r="Z663" s="148"/>
      <c r="AA663" s="148"/>
      <c r="AB663" s="148"/>
      <c r="AC663" s="148"/>
      <c r="AD663" s="148"/>
      <c r="AE663" s="148"/>
      <c r="AF663" s="148"/>
      <c r="AG663" s="148"/>
      <c r="AH663" s="148"/>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c r="BI663" s="148"/>
      <c r="BJ663" s="148"/>
    </row>
    <row r="664" spans="7:62" hidden="1" x14ac:dyDescent="0.25">
      <c r="G664" s="124"/>
      <c r="I664" s="139"/>
      <c r="J664" s="12"/>
      <c r="K664" s="12"/>
      <c r="L664" s="12"/>
      <c r="Q664" s="12"/>
      <c r="R664" s="12"/>
      <c r="S664" s="12"/>
      <c r="V664" s="148"/>
      <c r="W664" s="148"/>
      <c r="X664" s="148"/>
      <c r="Y664" s="148"/>
      <c r="Z664" s="148"/>
      <c r="AA664" s="148"/>
      <c r="AB664" s="148"/>
      <c r="AC664" s="148"/>
      <c r="AD664" s="148"/>
      <c r="AE664" s="148"/>
      <c r="AF664" s="148"/>
      <c r="AG664" s="148"/>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c r="BI664" s="148"/>
      <c r="BJ664" s="148"/>
    </row>
    <row r="665" spans="7:62" hidden="1" x14ac:dyDescent="0.25">
      <c r="G665" s="124"/>
      <c r="I665" s="139"/>
      <c r="J665" s="12"/>
      <c r="K665" s="12"/>
      <c r="L665" s="12"/>
      <c r="Q665" s="12"/>
      <c r="R665" s="12"/>
      <c r="S665" s="12"/>
      <c r="V665" s="148"/>
      <c r="W665" s="148"/>
      <c r="X665" s="148"/>
      <c r="Y665" s="148"/>
      <c r="Z665" s="148"/>
      <c r="AA665" s="148"/>
      <c r="AB665" s="148"/>
      <c r="AC665" s="148"/>
      <c r="AD665" s="148"/>
      <c r="AE665" s="148"/>
      <c r="AF665" s="148"/>
      <c r="AG665" s="148"/>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c r="BI665" s="148"/>
      <c r="BJ665" s="148"/>
    </row>
    <row r="666" spans="7:62" hidden="1" x14ac:dyDescent="0.25">
      <c r="G666" s="124"/>
      <c r="I666" s="139"/>
      <c r="J666" s="12"/>
      <c r="K666" s="12"/>
      <c r="L666" s="12"/>
      <c r="Q666" s="12"/>
      <c r="R666" s="12"/>
      <c r="S666" s="12"/>
      <c r="V666" s="148"/>
      <c r="W666" s="148"/>
      <c r="X666" s="148"/>
      <c r="Y666" s="148"/>
      <c r="Z666" s="148"/>
      <c r="AA666" s="148"/>
      <c r="AB666" s="148"/>
      <c r="AC666" s="148"/>
      <c r="AD666" s="148"/>
      <c r="AE666" s="148"/>
      <c r="AF666" s="148"/>
      <c r="AG666" s="148"/>
      <c r="AH666" s="148"/>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c r="BI666" s="148"/>
      <c r="BJ666" s="148"/>
    </row>
    <row r="667" spans="7:62" hidden="1" x14ac:dyDescent="0.25">
      <c r="G667" s="124"/>
      <c r="I667" s="139"/>
      <c r="J667" s="12"/>
      <c r="K667" s="12"/>
      <c r="L667" s="12"/>
      <c r="Q667" s="12"/>
      <c r="R667" s="12"/>
      <c r="S667" s="12"/>
      <c r="V667" s="148"/>
      <c r="W667" s="148"/>
      <c r="X667" s="148"/>
      <c r="Y667" s="148"/>
      <c r="Z667" s="148"/>
      <c r="AA667" s="148"/>
      <c r="AB667" s="148"/>
      <c r="AC667" s="148"/>
      <c r="AD667" s="148"/>
      <c r="AE667" s="148"/>
      <c r="AF667" s="148"/>
      <c r="AG667" s="148"/>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c r="BI667" s="148"/>
      <c r="BJ667" s="148"/>
    </row>
    <row r="668" spans="7:62" hidden="1" x14ac:dyDescent="0.25">
      <c r="G668" s="124"/>
      <c r="I668" s="140"/>
      <c r="J668" s="12"/>
      <c r="K668" s="12"/>
      <c r="L668" s="12"/>
      <c r="Q668" s="12"/>
      <c r="R668" s="12"/>
      <c r="S668" s="12"/>
      <c r="V668" s="148"/>
      <c r="W668" s="148"/>
      <c r="X668" s="148"/>
      <c r="Y668" s="148"/>
      <c r="Z668" s="148"/>
      <c r="AA668" s="148"/>
      <c r="AB668" s="148"/>
      <c r="AC668" s="148"/>
      <c r="AD668" s="148"/>
      <c r="AE668" s="148"/>
      <c r="AF668" s="148"/>
      <c r="AG668" s="148"/>
      <c r="AH668" s="148"/>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c r="BI668" s="148"/>
      <c r="BJ668" s="148"/>
    </row>
    <row r="669" spans="7:62" hidden="1" x14ac:dyDescent="0.25">
      <c r="G669" s="124"/>
      <c r="I669" s="140"/>
      <c r="J669" s="12"/>
      <c r="K669" s="12"/>
      <c r="L669" s="12"/>
      <c r="Q669" s="12"/>
      <c r="R669" s="12"/>
      <c r="S669" s="12"/>
      <c r="V669" s="148"/>
      <c r="W669" s="148"/>
      <c r="X669" s="148"/>
      <c r="Y669" s="148"/>
      <c r="Z669" s="148"/>
      <c r="AA669" s="148"/>
      <c r="AB669" s="148"/>
      <c r="AC669" s="148"/>
      <c r="AD669" s="148"/>
      <c r="AE669" s="148"/>
      <c r="AF669" s="148"/>
      <c r="AG669" s="148"/>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c r="BI669" s="148"/>
      <c r="BJ669" s="148"/>
    </row>
    <row r="670" spans="7:62" hidden="1" x14ac:dyDescent="0.25">
      <c r="G670" s="124"/>
      <c r="I670" s="140"/>
      <c r="J670" s="12"/>
      <c r="K670" s="12"/>
      <c r="L670" s="12"/>
      <c r="Q670" s="12"/>
      <c r="R670" s="12"/>
      <c r="S670" s="12"/>
      <c r="V670" s="148"/>
      <c r="W670" s="148"/>
      <c r="X670" s="148"/>
      <c r="Y670" s="148"/>
      <c r="Z670" s="148"/>
      <c r="AA670" s="148"/>
      <c r="AB670" s="148"/>
      <c r="AC670" s="148"/>
      <c r="AD670" s="148"/>
      <c r="AE670" s="148"/>
      <c r="AF670" s="148"/>
      <c r="AG670" s="148"/>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c r="BI670" s="148"/>
      <c r="BJ670" s="148"/>
    </row>
    <row r="671" spans="7:62" hidden="1" x14ac:dyDescent="0.25">
      <c r="G671" s="124"/>
      <c r="I671" s="140"/>
      <c r="J671" s="12"/>
      <c r="K671" s="12"/>
      <c r="L671" s="12"/>
      <c r="Q671" s="12"/>
      <c r="R671" s="12"/>
      <c r="S671" s="12"/>
    </row>
    <row r="672" spans="7:62" hidden="1" x14ac:dyDescent="0.25">
      <c r="G672" s="124"/>
      <c r="I672" s="140"/>
      <c r="J672" s="12"/>
      <c r="K672" s="12"/>
      <c r="L672" s="12"/>
      <c r="Q672" s="12"/>
      <c r="R672" s="12"/>
      <c r="S672" s="12"/>
    </row>
    <row r="673" spans="7:19" hidden="1" x14ac:dyDescent="0.25">
      <c r="G673" s="124"/>
      <c r="I673" s="140"/>
      <c r="J673" s="12"/>
      <c r="K673" s="12"/>
      <c r="L673" s="12"/>
      <c r="Q673" s="12"/>
      <c r="R673" s="12"/>
      <c r="S673" s="12"/>
    </row>
    <row r="674" spans="7:19" hidden="1" x14ac:dyDescent="0.25">
      <c r="G674" s="124"/>
      <c r="I674" s="140"/>
      <c r="J674" s="12"/>
      <c r="K674" s="12"/>
      <c r="L674" s="12"/>
      <c r="Q674" s="12"/>
      <c r="R674" s="12"/>
      <c r="S674" s="12"/>
    </row>
    <row r="675" spans="7:19" hidden="1" x14ac:dyDescent="0.25">
      <c r="G675" s="124"/>
      <c r="I675" s="140"/>
      <c r="J675" s="12"/>
      <c r="K675" s="12"/>
      <c r="L675" s="12"/>
      <c r="Q675" s="12"/>
      <c r="R675" s="12"/>
      <c r="S675" s="12"/>
    </row>
    <row r="676" spans="7:19" hidden="1" x14ac:dyDescent="0.25">
      <c r="G676" s="124"/>
      <c r="I676" s="140"/>
      <c r="J676" s="12"/>
      <c r="K676" s="12"/>
      <c r="L676" s="12"/>
      <c r="Q676" s="12"/>
      <c r="R676" s="12"/>
      <c r="S676" s="12"/>
    </row>
    <row r="677" spans="7:19" hidden="1" x14ac:dyDescent="0.25">
      <c r="G677" s="124"/>
      <c r="I677" s="140"/>
      <c r="J677" s="12"/>
      <c r="K677" s="12"/>
      <c r="L677" s="12"/>
      <c r="Q677" s="12"/>
      <c r="R677" s="12"/>
      <c r="S677" s="12"/>
    </row>
    <row r="678" spans="7:19" hidden="1" x14ac:dyDescent="0.25">
      <c r="G678" s="124"/>
      <c r="I678" s="140"/>
      <c r="J678" s="12"/>
      <c r="K678" s="12"/>
      <c r="L678" s="12"/>
      <c r="Q678" s="12"/>
      <c r="R678" s="12"/>
      <c r="S678" s="12"/>
    </row>
    <row r="679" spans="7:19" hidden="1" x14ac:dyDescent="0.25">
      <c r="G679" s="124"/>
      <c r="I679" s="140"/>
      <c r="J679" s="12"/>
      <c r="K679" s="12"/>
      <c r="L679" s="12"/>
      <c r="Q679" s="12"/>
      <c r="R679" s="12"/>
      <c r="S679" s="12"/>
    </row>
    <row r="680" spans="7:19" hidden="1" x14ac:dyDescent="0.25">
      <c r="G680" s="124"/>
      <c r="I680" s="140"/>
      <c r="J680" s="12"/>
      <c r="K680" s="12"/>
      <c r="L680" s="12"/>
      <c r="Q680" s="12"/>
      <c r="R680" s="12"/>
      <c r="S680" s="12"/>
    </row>
    <row r="681" spans="7:19" hidden="1" x14ac:dyDescent="0.25">
      <c r="G681" s="124"/>
      <c r="I681" s="140"/>
      <c r="J681" s="12"/>
      <c r="K681" s="12"/>
      <c r="L681" s="12"/>
      <c r="Q681" s="12"/>
      <c r="R681" s="12"/>
      <c r="S681" s="12"/>
    </row>
    <row r="682" spans="7:19" hidden="1" x14ac:dyDescent="0.25">
      <c r="G682" s="124"/>
      <c r="I682" s="140"/>
      <c r="J682" s="12"/>
      <c r="K682" s="12"/>
      <c r="L682" s="12"/>
      <c r="Q682" s="12"/>
      <c r="R682" s="12"/>
      <c r="S682" s="12"/>
    </row>
    <row r="683" spans="7:19" hidden="1" x14ac:dyDescent="0.25">
      <c r="G683" s="124"/>
      <c r="I683" s="140"/>
      <c r="J683" s="12"/>
      <c r="K683" s="12"/>
      <c r="L683" s="12"/>
      <c r="Q683" s="12"/>
      <c r="R683" s="12"/>
      <c r="S683" s="12"/>
    </row>
    <row r="684" spans="7:19" hidden="1" x14ac:dyDescent="0.25">
      <c r="G684" s="124"/>
      <c r="I684" s="140"/>
      <c r="J684" s="12"/>
      <c r="K684" s="12"/>
      <c r="L684" s="12"/>
      <c r="Q684" s="12"/>
      <c r="R684" s="12"/>
      <c r="S684" s="12"/>
    </row>
    <row r="685" spans="7:19" hidden="1" x14ac:dyDescent="0.25">
      <c r="G685" s="124"/>
      <c r="I685" s="140"/>
      <c r="J685" s="12"/>
      <c r="K685" s="12"/>
      <c r="L685" s="12"/>
      <c r="Q685" s="12"/>
      <c r="R685" s="12"/>
      <c r="S685" s="12"/>
    </row>
    <row r="686" spans="7:19" hidden="1" x14ac:dyDescent="0.25">
      <c r="G686" s="124"/>
      <c r="I686" s="140"/>
      <c r="J686" s="12"/>
      <c r="K686" s="12"/>
      <c r="L686" s="12"/>
      <c r="Q686" s="12"/>
      <c r="R686" s="12"/>
      <c r="S686" s="12"/>
    </row>
    <row r="687" spans="7:19" hidden="1" x14ac:dyDescent="0.25">
      <c r="G687" s="124"/>
      <c r="I687" s="140"/>
      <c r="J687" s="12"/>
      <c r="K687" s="12"/>
      <c r="L687" s="12"/>
      <c r="Q687" s="12"/>
      <c r="R687" s="12"/>
      <c r="S687" s="12"/>
    </row>
    <row r="688" spans="7:19" hidden="1" x14ac:dyDescent="0.25">
      <c r="G688" s="124"/>
      <c r="I688" s="140"/>
      <c r="J688" s="12"/>
      <c r="K688" s="12"/>
      <c r="L688" s="12"/>
      <c r="Q688" s="12"/>
      <c r="R688" s="12"/>
      <c r="S688" s="12"/>
    </row>
    <row r="689" spans="7:19" hidden="1" x14ac:dyDescent="0.25">
      <c r="G689" s="124"/>
      <c r="I689" s="140"/>
      <c r="J689" s="12"/>
      <c r="K689" s="12"/>
      <c r="L689" s="12"/>
      <c r="Q689" s="12"/>
      <c r="R689" s="12"/>
      <c r="S689" s="12"/>
    </row>
    <row r="690" spans="7:19" hidden="1" x14ac:dyDescent="0.25">
      <c r="G690" s="124"/>
      <c r="I690" s="140"/>
      <c r="J690" s="12"/>
      <c r="K690" s="12"/>
      <c r="L690" s="12"/>
      <c r="Q690" s="12"/>
      <c r="R690" s="12"/>
      <c r="S690" s="12"/>
    </row>
    <row r="691" spans="7:19" hidden="1" x14ac:dyDescent="0.25">
      <c r="G691" s="124"/>
      <c r="I691" s="140"/>
      <c r="J691" s="12"/>
      <c r="K691" s="12"/>
      <c r="L691" s="12"/>
      <c r="Q691" s="12"/>
      <c r="R691" s="12"/>
      <c r="S691" s="12"/>
    </row>
    <row r="692" spans="7:19" hidden="1" x14ac:dyDescent="0.25">
      <c r="G692" s="124"/>
      <c r="I692" s="140"/>
      <c r="J692" s="12"/>
      <c r="K692" s="12"/>
      <c r="L692" s="12"/>
      <c r="Q692" s="12"/>
      <c r="R692" s="12"/>
      <c r="S692" s="12"/>
    </row>
    <row r="693" spans="7:19" hidden="1" x14ac:dyDescent="0.25">
      <c r="G693" s="124"/>
      <c r="I693" s="140"/>
      <c r="J693" s="12"/>
      <c r="K693" s="12"/>
      <c r="L693" s="12"/>
      <c r="Q693" s="12"/>
      <c r="R693" s="12"/>
      <c r="S693" s="12"/>
    </row>
    <row r="694" spans="7:19" hidden="1" x14ac:dyDescent="0.25">
      <c r="G694" s="124"/>
      <c r="I694" s="140"/>
      <c r="J694" s="12"/>
      <c r="K694" s="12"/>
      <c r="L694" s="12"/>
      <c r="Q694" s="12"/>
      <c r="R694" s="12"/>
      <c r="S694" s="12"/>
    </row>
    <row r="695" spans="7:19" hidden="1" x14ac:dyDescent="0.25">
      <c r="G695" s="124"/>
      <c r="I695" s="140"/>
      <c r="J695" s="12"/>
      <c r="K695" s="12"/>
      <c r="L695" s="12"/>
      <c r="Q695" s="12"/>
      <c r="R695" s="12"/>
      <c r="S695" s="12"/>
    </row>
    <row r="696" spans="7:19" hidden="1" x14ac:dyDescent="0.25">
      <c r="G696" s="124"/>
      <c r="I696" s="140"/>
      <c r="J696" s="12"/>
      <c r="K696" s="12"/>
      <c r="L696" s="12"/>
      <c r="Q696" s="12"/>
      <c r="R696" s="12"/>
      <c r="S696" s="12"/>
    </row>
    <row r="697" spans="7:19" hidden="1" x14ac:dyDescent="0.25">
      <c r="G697" s="124"/>
      <c r="I697" s="140"/>
      <c r="J697" s="12"/>
      <c r="K697" s="12"/>
      <c r="L697" s="12"/>
      <c r="Q697" s="12"/>
      <c r="R697" s="12"/>
      <c r="S697" s="12"/>
    </row>
    <row r="698" spans="7:19" hidden="1" x14ac:dyDescent="0.25">
      <c r="G698" s="124"/>
      <c r="I698" s="140"/>
      <c r="J698" s="12"/>
      <c r="K698" s="12"/>
      <c r="L698" s="12"/>
      <c r="Q698" s="12"/>
      <c r="R698" s="12"/>
      <c r="S698" s="12"/>
    </row>
    <row r="699" spans="7:19" hidden="1" x14ac:dyDescent="0.25">
      <c r="G699" s="124"/>
      <c r="I699" s="140"/>
      <c r="J699" s="12"/>
      <c r="K699" s="12"/>
      <c r="L699" s="12"/>
      <c r="Q699" s="12"/>
      <c r="R699" s="12"/>
      <c r="S699" s="12"/>
    </row>
    <row r="700" spans="7:19" hidden="1" x14ac:dyDescent="0.25">
      <c r="G700" s="124"/>
      <c r="I700" s="140"/>
      <c r="J700" s="12"/>
      <c r="K700" s="12"/>
      <c r="L700" s="12"/>
      <c r="Q700" s="12"/>
      <c r="R700" s="12"/>
      <c r="S700" s="12"/>
    </row>
    <row r="701" spans="7:19" hidden="1" x14ac:dyDescent="0.25">
      <c r="G701" s="124"/>
      <c r="I701" s="140"/>
      <c r="J701" s="12"/>
      <c r="K701" s="12"/>
      <c r="L701" s="12"/>
      <c r="Q701" s="12"/>
      <c r="R701" s="12"/>
      <c r="S701" s="12"/>
    </row>
    <row r="702" spans="7:19" hidden="1" x14ac:dyDescent="0.25">
      <c r="G702" s="124"/>
      <c r="I702" s="140"/>
      <c r="J702" s="12"/>
      <c r="K702" s="12"/>
      <c r="L702" s="12"/>
      <c r="Q702" s="12"/>
      <c r="R702" s="12"/>
      <c r="S702" s="12"/>
    </row>
    <row r="703" spans="7:19" hidden="1" x14ac:dyDescent="0.25">
      <c r="G703" s="124"/>
      <c r="I703" s="140"/>
      <c r="J703" s="12"/>
      <c r="K703" s="12"/>
      <c r="L703" s="12"/>
      <c r="Q703" s="12"/>
      <c r="R703" s="12"/>
      <c r="S703" s="12"/>
    </row>
    <row r="704" spans="7:19" hidden="1" x14ac:dyDescent="0.25">
      <c r="G704" s="124"/>
      <c r="I704" s="140"/>
      <c r="J704" s="12"/>
      <c r="K704" s="12"/>
      <c r="L704" s="12"/>
      <c r="Q704" s="12"/>
      <c r="R704" s="12"/>
      <c r="S704" s="12"/>
    </row>
    <row r="705" spans="7:63" hidden="1" x14ac:dyDescent="0.25">
      <c r="G705" s="124"/>
      <c r="I705" s="140"/>
      <c r="J705" s="12"/>
      <c r="K705" s="12"/>
      <c r="L705" s="12"/>
      <c r="Q705" s="12"/>
      <c r="R705" s="12"/>
      <c r="S705" s="12"/>
    </row>
    <row r="706" spans="7:63" hidden="1" x14ac:dyDescent="0.25">
      <c r="G706" s="124"/>
      <c r="I706" s="140"/>
      <c r="J706" s="12"/>
      <c r="K706" s="12"/>
      <c r="L706" s="12"/>
      <c r="Q706" s="12"/>
      <c r="R706" s="12"/>
      <c r="S706" s="12"/>
    </row>
    <row r="707" spans="7:63" hidden="1" x14ac:dyDescent="0.25">
      <c r="G707" s="124"/>
      <c r="I707" s="140"/>
      <c r="J707" s="12"/>
      <c r="K707" s="12"/>
      <c r="L707" s="12"/>
      <c r="Q707" s="12"/>
      <c r="R707" s="12"/>
      <c r="S707" s="12"/>
    </row>
    <row r="708" spans="7:63" hidden="1" x14ac:dyDescent="0.25">
      <c r="G708" s="124"/>
      <c r="I708" s="140"/>
      <c r="J708" s="12"/>
      <c r="K708" s="12"/>
      <c r="L708" s="12"/>
      <c r="Q708" s="12"/>
      <c r="R708" s="12"/>
      <c r="S708" s="12"/>
    </row>
    <row r="709" spans="7:63" hidden="1" x14ac:dyDescent="0.25">
      <c r="G709" s="124"/>
      <c r="I709" s="140"/>
      <c r="J709" s="12"/>
      <c r="K709" s="12"/>
      <c r="L709" s="12"/>
      <c r="Q709" s="12"/>
      <c r="R709" s="12"/>
      <c r="S709" s="12"/>
    </row>
    <row r="710" spans="7:63" hidden="1" x14ac:dyDescent="0.25">
      <c r="G710" s="124"/>
      <c r="I710" s="140"/>
      <c r="J710" s="12"/>
      <c r="K710" s="12"/>
      <c r="L710" s="12"/>
      <c r="Q710" s="12"/>
      <c r="R710" s="12"/>
      <c r="S710" s="12"/>
    </row>
    <row r="711" spans="7:63" hidden="1" x14ac:dyDescent="0.25">
      <c r="G711" s="124"/>
      <c r="I711" s="140"/>
      <c r="J711" s="12"/>
      <c r="K711" s="12"/>
      <c r="L711" s="12"/>
      <c r="Q711" s="12"/>
      <c r="R711" s="12"/>
      <c r="S711" s="12"/>
    </row>
    <row r="712" spans="7:63" x14ac:dyDescent="0.25">
      <c r="G712" s="124"/>
      <c r="I712" s="140"/>
      <c r="J712" s="177"/>
      <c r="K712" s="177"/>
      <c r="L712" s="177"/>
      <c r="M712" s="148"/>
      <c r="N712" s="148"/>
      <c r="O712" s="148"/>
      <c r="P712" s="148"/>
      <c r="Q712" s="177"/>
      <c r="R712" s="177"/>
      <c r="S712" s="177"/>
      <c r="T712" s="148"/>
      <c r="U712" s="148"/>
      <c r="V712" s="148"/>
      <c r="W712" s="148"/>
      <c r="X712" s="148"/>
      <c r="Y712" s="148"/>
      <c r="Z712" s="148"/>
      <c r="AA712" s="148"/>
      <c r="AB712" s="148"/>
      <c r="AC712" s="148"/>
      <c r="AD712" s="148"/>
      <c r="AE712" s="148"/>
      <c r="AF712" s="148"/>
      <c r="AG712" s="148"/>
      <c r="AH712" s="148"/>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c r="BI712" s="148"/>
      <c r="BJ712" s="148"/>
      <c r="BK712" s="148"/>
    </row>
    <row r="713" spans="7:63" x14ac:dyDescent="0.25">
      <c r="G713" s="124"/>
      <c r="I713" s="140"/>
      <c r="J713" s="12"/>
      <c r="K713" s="12"/>
      <c r="L713" s="12"/>
      <c r="Q713" s="12"/>
      <c r="R713" s="12"/>
      <c r="S713" s="12"/>
    </row>
    <row r="714" spans="7:63" x14ac:dyDescent="0.25">
      <c r="G714" s="124"/>
      <c r="I714" s="140"/>
      <c r="J714" s="12"/>
      <c r="K714" s="12"/>
      <c r="L714" s="12"/>
      <c r="Q714" s="12"/>
      <c r="R714" s="12"/>
      <c r="S714" s="12"/>
    </row>
    <row r="715" spans="7:63" x14ac:dyDescent="0.25">
      <c r="G715" s="124"/>
      <c r="I715" s="140"/>
      <c r="J715" s="12"/>
      <c r="K715" s="12"/>
      <c r="L715" s="12"/>
      <c r="Q715" s="12"/>
      <c r="R715" s="12"/>
      <c r="S715" s="12"/>
    </row>
    <row r="716" spans="7:63" x14ac:dyDescent="0.25">
      <c r="G716" s="124"/>
      <c r="I716" s="140"/>
      <c r="J716" s="12"/>
      <c r="K716" s="12"/>
      <c r="L716" s="12"/>
      <c r="Q716" s="12"/>
      <c r="R716" s="12"/>
      <c r="S716" s="12"/>
    </row>
    <row r="717" spans="7:63" x14ac:dyDescent="0.25">
      <c r="G717" s="124"/>
      <c r="I717" s="140"/>
      <c r="J717" s="12"/>
      <c r="K717" s="12"/>
      <c r="L717" s="12"/>
      <c r="Q717" s="12"/>
      <c r="R717" s="12"/>
      <c r="S717" s="12"/>
    </row>
    <row r="718" spans="7:63" x14ac:dyDescent="0.25">
      <c r="G718" s="124"/>
      <c r="I718" s="140"/>
      <c r="J718" s="12"/>
      <c r="K718" s="12"/>
      <c r="L718" s="12"/>
      <c r="Q718" s="12"/>
      <c r="R718" s="12"/>
      <c r="S718" s="12"/>
    </row>
    <row r="719" spans="7:63" x14ac:dyDescent="0.25">
      <c r="G719" s="124"/>
      <c r="I719" s="140"/>
      <c r="J719" s="12"/>
      <c r="K719" s="12"/>
      <c r="L719" s="12"/>
      <c r="Q719" s="12"/>
      <c r="R719" s="12"/>
      <c r="S719" s="12"/>
    </row>
    <row r="720" spans="7:63" x14ac:dyDescent="0.25">
      <c r="G720" s="124"/>
      <c r="I720" s="140"/>
      <c r="J720" s="12"/>
      <c r="K720" s="12"/>
      <c r="L720" s="12"/>
      <c r="Q720" s="12"/>
      <c r="R720" s="12"/>
      <c r="S720" s="12"/>
    </row>
    <row r="721" spans="7:19" x14ac:dyDescent="0.25">
      <c r="G721" s="124"/>
      <c r="I721" s="140"/>
      <c r="J721" s="12"/>
      <c r="K721" s="12"/>
      <c r="L721" s="12"/>
      <c r="Q721" s="12"/>
      <c r="R721" s="12"/>
      <c r="S721" s="12"/>
    </row>
    <row r="722" spans="7:19" x14ac:dyDescent="0.25">
      <c r="G722" s="124"/>
      <c r="I722" s="140"/>
      <c r="J722" s="12"/>
      <c r="K722" s="12"/>
      <c r="L722" s="12"/>
      <c r="Q722" s="12"/>
      <c r="R722" s="12"/>
      <c r="S722" s="12"/>
    </row>
    <row r="723" spans="7:19" x14ac:dyDescent="0.25">
      <c r="G723" s="124"/>
      <c r="I723" s="140"/>
      <c r="J723" s="12"/>
      <c r="K723" s="12"/>
      <c r="L723" s="12"/>
      <c r="Q723" s="12"/>
      <c r="R723" s="12"/>
      <c r="S723" s="12"/>
    </row>
    <row r="724" spans="7:19" x14ac:dyDescent="0.25">
      <c r="G724" s="124"/>
      <c r="I724" s="140"/>
      <c r="J724" s="12"/>
      <c r="K724" s="12"/>
      <c r="L724" s="12"/>
      <c r="Q724" s="12"/>
      <c r="R724" s="12"/>
      <c r="S724" s="12"/>
    </row>
    <row r="725" spans="7:19" x14ac:dyDescent="0.25">
      <c r="G725" s="124"/>
      <c r="I725" s="140"/>
      <c r="J725" s="12"/>
      <c r="K725" s="12"/>
      <c r="L725" s="12"/>
      <c r="Q725" s="12"/>
      <c r="R725" s="12"/>
      <c r="S725" s="12"/>
    </row>
    <row r="726" spans="7:19" x14ac:dyDescent="0.25">
      <c r="G726" s="124"/>
      <c r="I726" s="140"/>
      <c r="J726" s="12"/>
      <c r="K726" s="12"/>
      <c r="L726" s="12"/>
      <c r="Q726" s="12"/>
      <c r="R726" s="12"/>
      <c r="S726" s="12"/>
    </row>
    <row r="727" spans="7:19" x14ac:dyDescent="0.25">
      <c r="G727" s="124"/>
      <c r="I727" s="140"/>
      <c r="J727" s="12"/>
      <c r="K727" s="12"/>
      <c r="L727" s="12"/>
      <c r="Q727" s="12"/>
      <c r="R727" s="12"/>
      <c r="S727" s="12"/>
    </row>
    <row r="728" spans="7:19" x14ac:dyDescent="0.25">
      <c r="G728" s="124"/>
      <c r="I728" s="140"/>
      <c r="J728" s="12"/>
      <c r="K728" s="12"/>
      <c r="L728" s="12"/>
      <c r="Q728" s="12"/>
      <c r="R728" s="12"/>
      <c r="S728" s="12"/>
    </row>
    <row r="729" spans="7:19" x14ac:dyDescent="0.25">
      <c r="G729" s="124"/>
      <c r="I729" s="140"/>
      <c r="J729" s="12"/>
      <c r="K729" s="12"/>
      <c r="L729" s="12"/>
      <c r="Q729" s="12"/>
      <c r="R729" s="12"/>
      <c r="S729" s="12"/>
    </row>
    <row r="730" spans="7:19" x14ac:dyDescent="0.25">
      <c r="G730" s="124"/>
      <c r="I730" s="140"/>
      <c r="J730" s="12"/>
      <c r="K730" s="12"/>
      <c r="L730" s="12"/>
      <c r="Q730" s="12"/>
      <c r="R730" s="12"/>
      <c r="S730" s="12"/>
    </row>
    <row r="731" spans="7:19" x14ac:dyDescent="0.25">
      <c r="G731" s="124"/>
      <c r="I731" s="140"/>
      <c r="J731" s="12"/>
      <c r="K731" s="12"/>
      <c r="L731" s="12"/>
      <c r="Q731" s="12"/>
      <c r="R731" s="12"/>
      <c r="S731" s="12"/>
    </row>
    <row r="732" spans="7:19" x14ac:dyDescent="0.25">
      <c r="G732" s="124"/>
      <c r="I732" s="140"/>
      <c r="J732" s="12"/>
      <c r="K732" s="12"/>
      <c r="L732" s="12"/>
      <c r="Q732" s="12"/>
      <c r="R732" s="12"/>
      <c r="S732" s="12"/>
    </row>
    <row r="733" spans="7:19" x14ac:dyDescent="0.25">
      <c r="G733" s="124"/>
      <c r="I733" s="140"/>
      <c r="J733" s="12"/>
      <c r="K733" s="12"/>
      <c r="L733" s="12"/>
      <c r="Q733" s="12"/>
      <c r="R733" s="12"/>
      <c r="S733" s="12"/>
    </row>
    <row r="734" spans="7:19" x14ac:dyDescent="0.25">
      <c r="G734" s="124"/>
      <c r="I734" s="140"/>
      <c r="J734" s="12"/>
      <c r="K734" s="12"/>
      <c r="L734" s="12"/>
      <c r="Q734" s="12"/>
      <c r="R734" s="12"/>
      <c r="S734" s="12"/>
    </row>
    <row r="735" spans="7:19" x14ac:dyDescent="0.25">
      <c r="G735" s="124"/>
      <c r="I735" s="140"/>
      <c r="J735" s="12"/>
      <c r="K735" s="12"/>
      <c r="L735" s="12"/>
      <c r="Q735" s="12"/>
      <c r="R735" s="12"/>
      <c r="S735" s="12"/>
    </row>
    <row r="736" spans="7:19" x14ac:dyDescent="0.25">
      <c r="G736" s="124"/>
      <c r="I736" s="140"/>
      <c r="J736" s="12"/>
      <c r="K736" s="12"/>
      <c r="L736" s="12"/>
      <c r="Q736" s="12"/>
      <c r="R736" s="12"/>
      <c r="S736" s="12"/>
    </row>
    <row r="737" spans="7:19" x14ac:dyDescent="0.25">
      <c r="G737" s="124"/>
      <c r="I737" s="140"/>
      <c r="J737" s="12"/>
      <c r="K737" s="12"/>
      <c r="L737" s="12"/>
      <c r="Q737" s="12"/>
      <c r="R737" s="12"/>
      <c r="S737" s="12"/>
    </row>
    <row r="738" spans="7:19" x14ac:dyDescent="0.25">
      <c r="G738" s="124"/>
      <c r="I738" s="140"/>
      <c r="J738" s="12"/>
      <c r="K738" s="12"/>
      <c r="L738" s="12"/>
      <c r="Q738" s="12"/>
      <c r="R738" s="12"/>
      <c r="S738" s="12"/>
    </row>
    <row r="739" spans="7:19" x14ac:dyDescent="0.25">
      <c r="G739" s="124"/>
      <c r="I739" s="140"/>
      <c r="J739" s="12"/>
      <c r="K739" s="12"/>
      <c r="L739" s="12"/>
      <c r="Q739" s="12"/>
      <c r="R739" s="12"/>
      <c r="S739" s="12"/>
    </row>
    <row r="740" spans="7:19" x14ac:dyDescent="0.25">
      <c r="G740" s="124"/>
      <c r="I740" s="140"/>
      <c r="J740" s="12"/>
      <c r="K740" s="12"/>
      <c r="L740" s="12"/>
      <c r="Q740" s="12"/>
      <c r="R740" s="12"/>
      <c r="S740" s="12"/>
    </row>
    <row r="741" spans="7:19" x14ac:dyDescent="0.25">
      <c r="G741" s="124"/>
      <c r="I741" s="140"/>
      <c r="J741" s="12"/>
      <c r="K741" s="12"/>
      <c r="L741" s="12"/>
      <c r="Q741" s="12"/>
      <c r="R741" s="12"/>
      <c r="S741" s="12"/>
    </row>
    <row r="742" spans="7:19" x14ac:dyDescent="0.25">
      <c r="G742" s="124"/>
      <c r="I742" s="140"/>
      <c r="J742" s="12"/>
      <c r="K742" s="12"/>
      <c r="L742" s="12"/>
      <c r="Q742" s="12"/>
      <c r="R742" s="12"/>
      <c r="S742" s="12"/>
    </row>
    <row r="743" spans="7:19" x14ac:dyDescent="0.25">
      <c r="G743" s="124"/>
      <c r="I743" s="140"/>
      <c r="J743" s="12"/>
      <c r="K743" s="12"/>
      <c r="L743" s="12"/>
      <c r="Q743" s="12"/>
      <c r="R743" s="12"/>
      <c r="S743" s="12"/>
    </row>
    <row r="744" spans="7:19" x14ac:dyDescent="0.25">
      <c r="G744" s="124"/>
      <c r="I744" s="140"/>
      <c r="J744" s="12"/>
      <c r="K744" s="12"/>
      <c r="L744" s="12"/>
      <c r="Q744" s="12"/>
      <c r="R744" s="12"/>
      <c r="S744" s="12"/>
    </row>
    <row r="745" spans="7:19" x14ac:dyDescent="0.25">
      <c r="G745" s="124"/>
      <c r="I745" s="140"/>
      <c r="J745" s="12"/>
      <c r="K745" s="12"/>
      <c r="L745" s="12"/>
      <c r="Q745" s="12"/>
      <c r="R745" s="12"/>
      <c r="S745" s="12"/>
    </row>
    <row r="746" spans="7:19" x14ac:dyDescent="0.25">
      <c r="G746" s="124"/>
      <c r="I746" s="140"/>
      <c r="J746" s="12"/>
      <c r="K746" s="12"/>
      <c r="L746" s="12"/>
      <c r="Q746" s="12"/>
      <c r="R746" s="12"/>
      <c r="S746" s="12"/>
    </row>
    <row r="747" spans="7:19" x14ac:dyDescent="0.25">
      <c r="G747" s="124"/>
      <c r="I747" s="140"/>
      <c r="J747" s="12"/>
      <c r="K747" s="12"/>
      <c r="L747" s="12"/>
      <c r="Q747" s="12"/>
      <c r="R747" s="12"/>
      <c r="S747" s="12"/>
    </row>
    <row r="748" spans="7:19" x14ac:dyDescent="0.25">
      <c r="G748" s="124"/>
      <c r="I748" s="140"/>
      <c r="J748" s="12"/>
      <c r="K748" s="12"/>
      <c r="L748" s="12"/>
      <c r="Q748" s="12"/>
      <c r="R748" s="12"/>
      <c r="S748" s="12"/>
    </row>
    <row r="749" spans="7:19" x14ac:dyDescent="0.25">
      <c r="G749" s="124"/>
      <c r="I749" s="140"/>
      <c r="J749" s="12"/>
      <c r="K749" s="12"/>
      <c r="L749" s="12"/>
      <c r="Q749" s="12"/>
      <c r="R749" s="12"/>
      <c r="S749" s="12"/>
    </row>
    <row r="750" spans="7:19" x14ac:dyDescent="0.25">
      <c r="G750" s="124"/>
      <c r="I750" s="140"/>
      <c r="J750" s="12"/>
      <c r="K750" s="12"/>
      <c r="L750" s="12"/>
      <c r="Q750" s="12"/>
      <c r="R750" s="12"/>
      <c r="S750" s="12"/>
    </row>
    <row r="751" spans="7:19" x14ac:dyDescent="0.25">
      <c r="G751" s="124"/>
      <c r="I751" s="140"/>
      <c r="J751" s="12"/>
      <c r="K751" s="12"/>
      <c r="L751" s="12"/>
      <c r="Q751" s="12"/>
      <c r="R751" s="12"/>
      <c r="S751" s="12"/>
    </row>
    <row r="752" spans="7:19" x14ac:dyDescent="0.25">
      <c r="G752" s="124"/>
      <c r="I752" s="140"/>
      <c r="J752" s="12"/>
      <c r="K752" s="12"/>
      <c r="L752" s="12"/>
      <c r="Q752" s="12"/>
      <c r="R752" s="12"/>
      <c r="S752" s="12"/>
    </row>
    <row r="753" spans="7:19" x14ac:dyDescent="0.25">
      <c r="G753" s="124"/>
      <c r="I753" s="140"/>
      <c r="J753" s="12"/>
      <c r="K753" s="12"/>
      <c r="L753" s="12"/>
      <c r="Q753" s="12"/>
      <c r="R753" s="12"/>
      <c r="S753" s="12"/>
    </row>
    <row r="754" spans="7:19" x14ac:dyDescent="0.25">
      <c r="G754" s="124"/>
      <c r="I754" s="140"/>
      <c r="J754" s="12"/>
      <c r="K754" s="12"/>
      <c r="L754" s="12"/>
      <c r="Q754" s="12"/>
      <c r="R754" s="12"/>
      <c r="S754" s="12"/>
    </row>
    <row r="755" spans="7:19" x14ac:dyDescent="0.25">
      <c r="G755" s="124"/>
      <c r="I755" s="140"/>
      <c r="J755" s="12"/>
      <c r="K755" s="12"/>
      <c r="L755" s="12"/>
      <c r="Q755" s="12"/>
      <c r="R755" s="12"/>
      <c r="S755" s="12"/>
    </row>
    <row r="756" spans="7:19" x14ac:dyDescent="0.25">
      <c r="G756" s="124"/>
      <c r="I756" s="140"/>
      <c r="J756" s="12"/>
      <c r="K756" s="12"/>
      <c r="L756" s="12"/>
      <c r="Q756" s="12"/>
      <c r="R756" s="12"/>
      <c r="S756" s="12"/>
    </row>
    <row r="757" spans="7:19" x14ac:dyDescent="0.25">
      <c r="G757" s="124"/>
      <c r="I757" s="140"/>
      <c r="J757" s="12"/>
      <c r="K757" s="12"/>
      <c r="L757" s="12"/>
      <c r="Q757" s="12"/>
      <c r="R757" s="12"/>
      <c r="S757" s="12"/>
    </row>
    <row r="758" spans="7:19" x14ac:dyDescent="0.25">
      <c r="G758" s="124"/>
      <c r="I758" s="140"/>
      <c r="J758" s="12"/>
      <c r="K758" s="12"/>
      <c r="L758" s="12"/>
      <c r="Q758" s="12"/>
      <c r="R758" s="12"/>
      <c r="S758" s="12"/>
    </row>
    <row r="759" spans="7:19" x14ac:dyDescent="0.25">
      <c r="G759" s="124"/>
      <c r="I759" s="140"/>
      <c r="J759" s="12"/>
      <c r="K759" s="12"/>
      <c r="L759" s="12"/>
      <c r="Q759" s="12"/>
      <c r="R759" s="12"/>
      <c r="S759" s="12"/>
    </row>
    <row r="760" spans="7:19" x14ac:dyDescent="0.25">
      <c r="G760" s="124"/>
      <c r="I760" s="140"/>
      <c r="J760" s="12"/>
      <c r="K760" s="12"/>
      <c r="L760" s="12"/>
      <c r="Q760" s="12"/>
      <c r="R760" s="12"/>
      <c r="S760" s="12"/>
    </row>
    <row r="761" spans="7:19" x14ac:dyDescent="0.25">
      <c r="G761" s="124"/>
      <c r="I761" s="140"/>
      <c r="J761" s="12"/>
      <c r="K761" s="12"/>
      <c r="L761" s="12"/>
      <c r="Q761" s="12"/>
      <c r="R761" s="12"/>
      <c r="S761" s="12"/>
    </row>
    <row r="762" spans="7:19" x14ac:dyDescent="0.25">
      <c r="G762" s="124"/>
      <c r="I762" s="140"/>
      <c r="J762" s="12"/>
      <c r="K762" s="12"/>
      <c r="L762" s="12"/>
      <c r="Q762" s="12"/>
      <c r="R762" s="12"/>
      <c r="S762" s="12"/>
    </row>
    <row r="763" spans="7:19" x14ac:dyDescent="0.25">
      <c r="G763" s="124"/>
      <c r="I763" s="140"/>
      <c r="J763" s="12"/>
      <c r="K763" s="12"/>
      <c r="L763" s="12"/>
      <c r="Q763" s="12"/>
      <c r="R763" s="12"/>
      <c r="S763" s="12"/>
    </row>
    <row r="764" spans="7:19" x14ac:dyDescent="0.25">
      <c r="G764" s="124"/>
      <c r="I764" s="140"/>
      <c r="J764" s="12"/>
      <c r="K764" s="12"/>
      <c r="L764" s="12"/>
      <c r="Q764" s="12"/>
      <c r="R764" s="12"/>
      <c r="S764" s="12"/>
    </row>
    <row r="765" spans="7:19" x14ac:dyDescent="0.25">
      <c r="G765" s="124"/>
      <c r="I765" s="140"/>
      <c r="J765" s="12"/>
      <c r="K765" s="12"/>
      <c r="L765" s="12"/>
    </row>
    <row r="766" spans="7:19" x14ac:dyDescent="0.25">
      <c r="G766" s="124"/>
      <c r="I766" s="140"/>
      <c r="J766" s="12"/>
      <c r="K766" s="12"/>
      <c r="L766" s="12"/>
    </row>
    <row r="767" spans="7:19" x14ac:dyDescent="0.25">
      <c r="G767" s="124"/>
      <c r="I767" s="140"/>
      <c r="J767" s="12"/>
      <c r="K767" s="12"/>
      <c r="L767" s="12"/>
    </row>
    <row r="768" spans="7:19" x14ac:dyDescent="0.25">
      <c r="G768" s="124"/>
      <c r="I768" s="140"/>
      <c r="J768" s="12"/>
      <c r="K768" s="12"/>
      <c r="L768" s="12"/>
    </row>
    <row r="769" spans="7:12" x14ac:dyDescent="0.25">
      <c r="G769" s="124"/>
      <c r="I769" s="140"/>
      <c r="J769" s="12"/>
      <c r="K769" s="12"/>
      <c r="L769" s="12"/>
    </row>
    <row r="770" spans="7:12" x14ac:dyDescent="0.25">
      <c r="G770" s="124"/>
      <c r="I770" s="140"/>
      <c r="J770" s="12"/>
      <c r="K770" s="12"/>
      <c r="L770" s="12"/>
    </row>
    <row r="771" spans="7:12" x14ac:dyDescent="0.25">
      <c r="G771" s="124"/>
      <c r="I771" s="140"/>
      <c r="J771" s="12"/>
      <c r="K771" s="12"/>
      <c r="L771" s="12"/>
    </row>
    <row r="772" spans="7:12" x14ac:dyDescent="0.25">
      <c r="G772" s="124"/>
      <c r="I772" s="140"/>
      <c r="J772" s="12"/>
      <c r="K772" s="12"/>
      <c r="L772" s="12"/>
    </row>
    <row r="773" spans="7:12" x14ac:dyDescent="0.25">
      <c r="G773" s="124"/>
      <c r="I773" s="140"/>
      <c r="J773" s="12"/>
      <c r="K773" s="12"/>
      <c r="L773" s="12"/>
    </row>
    <row r="774" spans="7:12" x14ac:dyDescent="0.25">
      <c r="G774" s="124"/>
      <c r="I774" s="140"/>
      <c r="J774" s="12"/>
      <c r="K774" s="12"/>
      <c r="L774" s="12"/>
    </row>
    <row r="775" spans="7:12" x14ac:dyDescent="0.25">
      <c r="G775" s="124"/>
      <c r="I775" s="140"/>
      <c r="J775" s="12"/>
      <c r="K775" s="12"/>
      <c r="L775" s="12"/>
    </row>
    <row r="776" spans="7:12" x14ac:dyDescent="0.25">
      <c r="G776" s="124"/>
      <c r="I776" s="140"/>
      <c r="J776" s="12"/>
      <c r="K776" s="12"/>
      <c r="L776" s="12"/>
    </row>
    <row r="777" spans="7:12" x14ac:dyDescent="0.25">
      <c r="G777" s="124"/>
      <c r="I777" s="140"/>
      <c r="J777" s="12"/>
      <c r="K777" s="12"/>
      <c r="L777" s="12"/>
    </row>
    <row r="778" spans="7:12" x14ac:dyDescent="0.25">
      <c r="G778" s="124"/>
      <c r="I778" s="140"/>
      <c r="J778" s="12"/>
      <c r="K778" s="12"/>
      <c r="L778" s="12"/>
    </row>
    <row r="779" spans="7:12" x14ac:dyDescent="0.25">
      <c r="G779" s="124"/>
      <c r="I779" s="140"/>
      <c r="J779" s="12"/>
      <c r="K779" s="12"/>
      <c r="L779" s="12"/>
    </row>
    <row r="780" spans="7:12" x14ac:dyDescent="0.25">
      <c r="G780" s="124"/>
      <c r="I780" s="140"/>
      <c r="J780" s="12"/>
      <c r="K780" s="12"/>
      <c r="L780" s="12"/>
    </row>
    <row r="781" spans="7:12" x14ac:dyDescent="0.25">
      <c r="G781" s="124"/>
      <c r="I781" s="140"/>
      <c r="J781" s="12"/>
      <c r="K781" s="12"/>
      <c r="L781" s="12"/>
    </row>
    <row r="782" spans="7:12" x14ac:dyDescent="0.25">
      <c r="G782" s="124"/>
      <c r="I782" s="140"/>
      <c r="J782" s="12"/>
      <c r="K782" s="12"/>
      <c r="L782" s="12"/>
    </row>
    <row r="783" spans="7:12" x14ac:dyDescent="0.25">
      <c r="G783" s="124"/>
      <c r="I783" s="140"/>
      <c r="J783" s="12"/>
      <c r="K783" s="12"/>
      <c r="L783" s="12"/>
    </row>
    <row r="784" spans="7:12" x14ac:dyDescent="0.25">
      <c r="G784" s="124"/>
      <c r="I784" s="140"/>
      <c r="J784" s="12"/>
      <c r="K784" s="12"/>
      <c r="L784" s="12"/>
    </row>
    <row r="785" spans="7:12" x14ac:dyDescent="0.25">
      <c r="G785" s="124"/>
      <c r="I785" s="140"/>
      <c r="J785" s="12"/>
      <c r="K785" s="12"/>
      <c r="L785" s="12"/>
    </row>
    <row r="786" spans="7:12" x14ac:dyDescent="0.25">
      <c r="G786" s="124"/>
      <c r="I786" s="140"/>
      <c r="J786" s="12"/>
      <c r="K786" s="12"/>
      <c r="L786" s="12"/>
    </row>
    <row r="787" spans="7:12" x14ac:dyDescent="0.25">
      <c r="G787" s="124"/>
      <c r="I787" s="140"/>
      <c r="J787" s="12"/>
      <c r="K787" s="12"/>
      <c r="L787" s="12"/>
    </row>
    <row r="788" spans="7:12" x14ac:dyDescent="0.25">
      <c r="G788" s="124"/>
      <c r="I788" s="140"/>
      <c r="J788" s="12"/>
      <c r="K788" s="12"/>
      <c r="L788" s="12"/>
    </row>
    <row r="789" spans="7:12" x14ac:dyDescent="0.25">
      <c r="G789" s="124"/>
      <c r="I789" s="140"/>
      <c r="J789" s="12"/>
      <c r="K789" s="12"/>
      <c r="L789" s="12"/>
    </row>
    <row r="790" spans="7:12" x14ac:dyDescent="0.25">
      <c r="G790" s="124"/>
      <c r="I790" s="140"/>
      <c r="J790" s="12"/>
      <c r="K790" s="12"/>
      <c r="L790" s="12"/>
    </row>
    <row r="791" spans="7:12" x14ac:dyDescent="0.25">
      <c r="G791" s="124"/>
      <c r="I791" s="140"/>
      <c r="J791" s="12"/>
      <c r="K791" s="12"/>
      <c r="L791" s="12"/>
    </row>
    <row r="792" spans="7:12" x14ac:dyDescent="0.25">
      <c r="G792" s="124"/>
      <c r="I792" s="140"/>
      <c r="J792" s="12"/>
      <c r="K792" s="12"/>
      <c r="L792" s="12"/>
    </row>
    <row r="793" spans="7:12" x14ac:dyDescent="0.25">
      <c r="G793" s="124"/>
      <c r="I793" s="140"/>
      <c r="J793" s="12"/>
      <c r="K793" s="12"/>
      <c r="L793" s="12"/>
    </row>
    <row r="794" spans="7:12" x14ac:dyDescent="0.25">
      <c r="G794" s="124"/>
      <c r="I794" s="140"/>
      <c r="J794" s="12"/>
      <c r="K794" s="12"/>
      <c r="L794" s="12"/>
    </row>
    <row r="795" spans="7:12" x14ac:dyDescent="0.25">
      <c r="G795" s="124"/>
      <c r="I795" s="140"/>
      <c r="J795" s="12"/>
      <c r="K795" s="12"/>
      <c r="L795" s="12"/>
    </row>
    <row r="796" spans="7:12" x14ac:dyDescent="0.25">
      <c r="G796" s="124"/>
      <c r="I796" s="140"/>
      <c r="J796" s="12"/>
      <c r="K796" s="12"/>
      <c r="L796" s="12"/>
    </row>
    <row r="797" spans="7:12" x14ac:dyDescent="0.25">
      <c r="G797" s="124"/>
      <c r="I797" s="140"/>
      <c r="J797" s="12"/>
      <c r="K797" s="12"/>
      <c r="L797" s="12"/>
    </row>
    <row r="798" spans="7:12" x14ac:dyDescent="0.25">
      <c r="G798" s="124"/>
      <c r="I798" s="140"/>
      <c r="J798" s="12"/>
      <c r="K798" s="12"/>
      <c r="L798" s="12"/>
    </row>
    <row r="799" spans="7:12" x14ac:dyDescent="0.25">
      <c r="G799" s="124"/>
      <c r="I799" s="140"/>
      <c r="J799" s="12"/>
      <c r="K799" s="12"/>
      <c r="L799" s="12"/>
    </row>
    <row r="800" spans="7:12" x14ac:dyDescent="0.25">
      <c r="G800" s="124"/>
      <c r="I800" s="140"/>
      <c r="J800" s="12"/>
      <c r="K800" s="12"/>
      <c r="L800" s="12"/>
    </row>
    <row r="801" spans="7:12" x14ac:dyDescent="0.25">
      <c r="G801" s="124"/>
      <c r="I801" s="140"/>
      <c r="J801" s="12"/>
      <c r="K801" s="12"/>
      <c r="L801" s="12"/>
    </row>
    <row r="802" spans="7:12" x14ac:dyDescent="0.25">
      <c r="G802" s="124"/>
      <c r="I802" s="140"/>
      <c r="J802" s="12"/>
      <c r="K802" s="12"/>
      <c r="L802" s="12"/>
    </row>
    <row r="803" spans="7:12" x14ac:dyDescent="0.25">
      <c r="G803" s="124"/>
      <c r="I803" s="140"/>
      <c r="J803" s="12"/>
      <c r="K803" s="12"/>
      <c r="L803" s="12"/>
    </row>
    <row r="804" spans="7:12" x14ac:dyDescent="0.25">
      <c r="G804" s="124"/>
      <c r="I804" s="140"/>
      <c r="J804" s="12"/>
      <c r="K804" s="12"/>
      <c r="L804" s="12"/>
    </row>
    <row r="805" spans="7:12" x14ac:dyDescent="0.25">
      <c r="G805" s="124"/>
      <c r="I805" s="140"/>
      <c r="J805" s="12"/>
      <c r="K805" s="12"/>
      <c r="L805" s="12"/>
    </row>
    <row r="806" spans="7:12" x14ac:dyDescent="0.25">
      <c r="G806" s="124"/>
      <c r="I806" s="140"/>
      <c r="J806" s="12"/>
      <c r="K806" s="12"/>
      <c r="L806" s="12"/>
    </row>
    <row r="807" spans="7:12" x14ac:dyDescent="0.25">
      <c r="G807" s="124"/>
      <c r="I807" s="140"/>
      <c r="J807" s="12"/>
      <c r="K807" s="12"/>
      <c r="L807" s="12"/>
    </row>
    <row r="808" spans="7:12" x14ac:dyDescent="0.25">
      <c r="G808" s="124"/>
      <c r="I808" s="140"/>
      <c r="J808" s="12"/>
      <c r="K808" s="12"/>
      <c r="L808" s="12"/>
    </row>
    <row r="809" spans="7:12" x14ac:dyDescent="0.25">
      <c r="G809" s="124"/>
      <c r="I809" s="140"/>
      <c r="J809" s="12"/>
      <c r="K809" s="12"/>
      <c r="L809" s="12"/>
    </row>
    <row r="810" spans="7:12" x14ac:dyDescent="0.25">
      <c r="G810" s="124"/>
      <c r="I810" s="140"/>
      <c r="J810" s="12"/>
      <c r="K810" s="12"/>
      <c r="L810" s="12"/>
    </row>
    <row r="811" spans="7:12" x14ac:dyDescent="0.25">
      <c r="G811" s="124"/>
      <c r="I811" s="140"/>
      <c r="J811" s="12"/>
      <c r="K811" s="12"/>
      <c r="L811" s="12"/>
    </row>
    <row r="812" spans="7:12" x14ac:dyDescent="0.25">
      <c r="G812" s="124"/>
      <c r="I812" s="140"/>
      <c r="J812" s="12"/>
      <c r="K812" s="12"/>
      <c r="L812" s="12"/>
    </row>
    <row r="813" spans="7:12" x14ac:dyDescent="0.25">
      <c r="G813" s="124"/>
      <c r="I813" s="140"/>
      <c r="J813" s="12"/>
      <c r="K813" s="12"/>
      <c r="L813" s="12"/>
    </row>
    <row r="814" spans="7:12" x14ac:dyDescent="0.25">
      <c r="G814" s="124"/>
      <c r="I814" s="140"/>
      <c r="J814" s="12"/>
      <c r="K814" s="12"/>
      <c r="L814" s="12"/>
    </row>
    <row r="815" spans="7:12" x14ac:dyDescent="0.25">
      <c r="G815" s="124"/>
      <c r="I815" s="140"/>
      <c r="J815" s="12"/>
      <c r="K815" s="12"/>
      <c r="L815" s="12"/>
    </row>
    <row r="816" spans="7:12" x14ac:dyDescent="0.25">
      <c r="G816" s="124"/>
      <c r="I816" s="140"/>
      <c r="J816" s="12"/>
      <c r="K816" s="12"/>
      <c r="L816" s="12"/>
    </row>
    <row r="817" spans="7:12" x14ac:dyDescent="0.25">
      <c r="G817" s="124"/>
      <c r="I817" s="140"/>
      <c r="J817" s="12"/>
      <c r="K817" s="12"/>
      <c r="L817" s="12"/>
    </row>
    <row r="818" spans="7:12" x14ac:dyDescent="0.25">
      <c r="G818" s="124"/>
      <c r="I818" s="140"/>
      <c r="J818" s="12"/>
      <c r="K818" s="12"/>
      <c r="L818" s="12"/>
    </row>
    <row r="819" spans="7:12" x14ac:dyDescent="0.25">
      <c r="G819" s="124"/>
      <c r="I819" s="140"/>
      <c r="J819" s="12"/>
      <c r="K819" s="12"/>
      <c r="L819" s="12"/>
    </row>
    <row r="820" spans="7:12" x14ac:dyDescent="0.25">
      <c r="G820" s="124"/>
      <c r="I820" s="140"/>
      <c r="J820" s="12"/>
      <c r="K820" s="12"/>
      <c r="L820" s="12"/>
    </row>
    <row r="821" spans="7:12" x14ac:dyDescent="0.25">
      <c r="G821" s="124"/>
      <c r="I821" s="140"/>
      <c r="J821" s="12"/>
      <c r="K821" s="12"/>
      <c r="L821" s="12"/>
    </row>
    <row r="822" spans="7:12" x14ac:dyDescent="0.25">
      <c r="G822" s="124"/>
      <c r="I822" s="140"/>
      <c r="J822" s="12"/>
      <c r="K822" s="12"/>
      <c r="L822" s="12"/>
    </row>
    <row r="823" spans="7:12" x14ac:dyDescent="0.25">
      <c r="G823" s="124"/>
      <c r="I823" s="140"/>
      <c r="J823" s="12"/>
      <c r="K823" s="12"/>
      <c r="L823" s="12"/>
    </row>
    <row r="824" spans="7:12" x14ac:dyDescent="0.25">
      <c r="G824" s="124"/>
      <c r="I824" s="140"/>
      <c r="J824" s="12"/>
      <c r="K824" s="12"/>
      <c r="L824" s="12"/>
    </row>
    <row r="825" spans="7:12" x14ac:dyDescent="0.25">
      <c r="G825" s="124"/>
      <c r="I825" s="140"/>
      <c r="J825" s="12"/>
      <c r="K825" s="12"/>
      <c r="L825" s="12"/>
    </row>
    <row r="826" spans="7:12" x14ac:dyDescent="0.25">
      <c r="G826" s="124"/>
      <c r="I826" s="140"/>
      <c r="J826" s="12"/>
      <c r="K826" s="12"/>
      <c r="L826" s="12"/>
    </row>
    <row r="827" spans="7:12" x14ac:dyDescent="0.25">
      <c r="G827" s="124"/>
      <c r="I827" s="140"/>
      <c r="J827" s="12"/>
      <c r="K827" s="12"/>
      <c r="L827" s="12"/>
    </row>
    <row r="828" spans="7:12" x14ac:dyDescent="0.25">
      <c r="G828" s="124"/>
      <c r="I828" s="140"/>
      <c r="J828" s="12"/>
      <c r="K828" s="12"/>
      <c r="L828" s="12"/>
    </row>
    <row r="829" spans="7:12" x14ac:dyDescent="0.25">
      <c r="G829" s="124"/>
      <c r="I829" s="140"/>
      <c r="J829" s="12"/>
      <c r="K829" s="12"/>
      <c r="L829" s="12"/>
    </row>
    <row r="830" spans="7:12" x14ac:dyDescent="0.25">
      <c r="G830" s="124"/>
      <c r="I830" s="140"/>
      <c r="J830" s="12"/>
      <c r="K830" s="12"/>
      <c r="L830" s="12"/>
    </row>
    <row r="831" spans="7:12" x14ac:dyDescent="0.25">
      <c r="G831" s="124"/>
      <c r="I831" s="140"/>
      <c r="J831" s="12"/>
      <c r="K831" s="12"/>
      <c r="L831" s="12"/>
    </row>
    <row r="832" spans="7:12" x14ac:dyDescent="0.25">
      <c r="G832" s="124"/>
      <c r="I832" s="140"/>
      <c r="J832" s="12"/>
      <c r="K832" s="12"/>
      <c r="L832" s="12"/>
    </row>
    <row r="833" spans="7:12" x14ac:dyDescent="0.25">
      <c r="G833" s="124"/>
      <c r="I833" s="140"/>
      <c r="J833" s="12"/>
      <c r="K833" s="12"/>
      <c r="L833" s="12"/>
    </row>
  </sheetData>
  <sheetProtection password="DE52" sheet="1" objects="1" scenarios="1"/>
  <mergeCells count="154">
    <mergeCell ref="M9:P9"/>
    <mergeCell ref="J22:L22"/>
    <mergeCell ref="J23:L23"/>
    <mergeCell ref="M23:P23"/>
    <mergeCell ref="Q23:T23"/>
    <mergeCell ref="J24:L24"/>
    <mergeCell ref="M24:P24"/>
    <mergeCell ref="Q24:T24"/>
    <mergeCell ref="J27:L27"/>
    <mergeCell ref="M27:P27"/>
    <mergeCell ref="Q27:T27"/>
    <mergeCell ref="J28:L28"/>
    <mergeCell ref="M28:P28"/>
    <mergeCell ref="Q28:T28"/>
    <mergeCell ref="J25:L25"/>
    <mergeCell ref="M25:P25"/>
    <mergeCell ref="Q25:T25"/>
    <mergeCell ref="J26:L26"/>
    <mergeCell ref="M26:P26"/>
    <mergeCell ref="Q26:T26"/>
    <mergeCell ref="J31:L31"/>
    <mergeCell ref="M31:P31"/>
    <mergeCell ref="Q31:T31"/>
    <mergeCell ref="J32:L32"/>
    <mergeCell ref="M32:P32"/>
    <mergeCell ref="Q32:T32"/>
    <mergeCell ref="J29:L29"/>
    <mergeCell ref="M29:P29"/>
    <mergeCell ref="Q29:T29"/>
    <mergeCell ref="J30:L30"/>
    <mergeCell ref="M30:P30"/>
    <mergeCell ref="Q30:T30"/>
    <mergeCell ref="J36:L36"/>
    <mergeCell ref="M36:P36"/>
    <mergeCell ref="Q36:T36"/>
    <mergeCell ref="J37:L37"/>
    <mergeCell ref="M37:P37"/>
    <mergeCell ref="Q37:T37"/>
    <mergeCell ref="J33:L33"/>
    <mergeCell ref="M33:P33"/>
    <mergeCell ref="Q33:T33"/>
    <mergeCell ref="J35:L35"/>
    <mergeCell ref="M35:P35"/>
    <mergeCell ref="Q35:T35"/>
    <mergeCell ref="J40:L40"/>
    <mergeCell ref="M40:P40"/>
    <mergeCell ref="Q40:T40"/>
    <mergeCell ref="J41:L41"/>
    <mergeCell ref="M41:P41"/>
    <mergeCell ref="Q41:T41"/>
    <mergeCell ref="J38:L38"/>
    <mergeCell ref="M38:P38"/>
    <mergeCell ref="Q38:T38"/>
    <mergeCell ref="J39:L39"/>
    <mergeCell ref="M39:P39"/>
    <mergeCell ref="Q39:T39"/>
    <mergeCell ref="M45:P45"/>
    <mergeCell ref="Q45:T45"/>
    <mergeCell ref="M46:P46"/>
    <mergeCell ref="Q46:T46"/>
    <mergeCell ref="J47:L47"/>
    <mergeCell ref="M47:P47"/>
    <mergeCell ref="Q47:T47"/>
    <mergeCell ref="J42:L42"/>
    <mergeCell ref="M42:P42"/>
    <mergeCell ref="Q42:T42"/>
    <mergeCell ref="M43:P43"/>
    <mergeCell ref="Q43:T43"/>
    <mergeCell ref="M44:P44"/>
    <mergeCell ref="Q44:T44"/>
    <mergeCell ref="M74:P74"/>
    <mergeCell ref="M75:N76"/>
    <mergeCell ref="S75:T76"/>
    <mergeCell ref="M77:N77"/>
    <mergeCell ref="S77:T77"/>
    <mergeCell ref="M78:N78"/>
    <mergeCell ref="S78:T78"/>
    <mergeCell ref="J48:L48"/>
    <mergeCell ref="M48:P48"/>
    <mergeCell ref="Q48:T48"/>
    <mergeCell ref="J50:T58"/>
    <mergeCell ref="L64:T65"/>
    <mergeCell ref="L66:T69"/>
    <mergeCell ref="M82:N82"/>
    <mergeCell ref="S82:T82"/>
    <mergeCell ref="M83:N83"/>
    <mergeCell ref="S83:T83"/>
    <mergeCell ref="M84:N84"/>
    <mergeCell ref="S84:T84"/>
    <mergeCell ref="M79:N79"/>
    <mergeCell ref="S79:T79"/>
    <mergeCell ref="M80:N80"/>
    <mergeCell ref="S80:T80"/>
    <mergeCell ref="M81:N81"/>
    <mergeCell ref="S81:T81"/>
    <mergeCell ref="M88:N88"/>
    <mergeCell ref="S88:T88"/>
    <mergeCell ref="M89:N89"/>
    <mergeCell ref="S89:T89"/>
    <mergeCell ref="M90:N90"/>
    <mergeCell ref="S90:T90"/>
    <mergeCell ref="M85:N85"/>
    <mergeCell ref="S85:T85"/>
    <mergeCell ref="M86:N86"/>
    <mergeCell ref="S86:T86"/>
    <mergeCell ref="M87:N87"/>
    <mergeCell ref="S87:T87"/>
    <mergeCell ref="M94:N94"/>
    <mergeCell ref="S94:T94"/>
    <mergeCell ref="M95:N95"/>
    <mergeCell ref="S95:T95"/>
    <mergeCell ref="M96:N96"/>
    <mergeCell ref="S96:T96"/>
    <mergeCell ref="M91:N91"/>
    <mergeCell ref="S91:T91"/>
    <mergeCell ref="M92:N92"/>
    <mergeCell ref="S92:T92"/>
    <mergeCell ref="M93:N93"/>
    <mergeCell ref="S93:T93"/>
    <mergeCell ref="M100:N100"/>
    <mergeCell ref="S100:T100"/>
    <mergeCell ref="M101:N101"/>
    <mergeCell ref="S101:T101"/>
    <mergeCell ref="M102:N102"/>
    <mergeCell ref="S102:T102"/>
    <mergeCell ref="M97:N97"/>
    <mergeCell ref="S97:T97"/>
    <mergeCell ref="M98:N98"/>
    <mergeCell ref="S98:T98"/>
    <mergeCell ref="M99:N99"/>
    <mergeCell ref="S99:T99"/>
    <mergeCell ref="M106:N106"/>
    <mergeCell ref="S106:T106"/>
    <mergeCell ref="M107:N107"/>
    <mergeCell ref="S107:T107"/>
    <mergeCell ref="M108:N108"/>
    <mergeCell ref="S108:T108"/>
    <mergeCell ref="M103:N103"/>
    <mergeCell ref="S103:T103"/>
    <mergeCell ref="M104:N104"/>
    <mergeCell ref="S104:T104"/>
    <mergeCell ref="M105:N105"/>
    <mergeCell ref="S105:T105"/>
    <mergeCell ref="C115:C117"/>
    <mergeCell ref="D115:D117"/>
    <mergeCell ref="M221:M222"/>
    <mergeCell ref="M109:N109"/>
    <mergeCell ref="O109:P109"/>
    <mergeCell ref="Q109:R109"/>
    <mergeCell ref="S109:T109"/>
    <mergeCell ref="M110:N110"/>
    <mergeCell ref="O110:P110"/>
    <mergeCell ref="Q110:R110"/>
    <mergeCell ref="S110:T110"/>
  </mergeCells>
  <conditionalFormatting sqref="O183 O130 O147 O164">
    <cfRule type="expression" dxfId="27" priority="22">
      <formula>O130=0</formula>
    </cfRule>
  </conditionalFormatting>
  <conditionalFormatting sqref="C156:G159 C173:G176 C212:G215 C192:G195">
    <cfRule type="expression" dxfId="26" priority="23" stopIfTrue="1">
      <formula>$I$152=$C$29</formula>
    </cfRule>
  </conditionalFormatting>
  <conditionalFormatting sqref="C152:G155 C169:G172 C208:G211 C188:G191">
    <cfRule type="expression" dxfId="25" priority="24" stopIfTrue="1">
      <formula>$I$152=$C$28</formula>
    </cfRule>
  </conditionalFormatting>
  <conditionalFormatting sqref="Q75:Q77 Q109 S77 S109:S110">
    <cfRule type="expression" dxfId="24" priority="25" stopIfTrue="1">
      <formula>$G$74="YES"</formula>
    </cfRule>
  </conditionalFormatting>
  <conditionalFormatting sqref="O75:O77 O109">
    <cfRule type="expression" dxfId="23" priority="26" stopIfTrue="1">
      <formula>NOT($G$74="YES")</formula>
    </cfRule>
  </conditionalFormatting>
  <conditionalFormatting sqref="S108">
    <cfRule type="expression" dxfId="22" priority="21" stopIfTrue="1">
      <formula>$G$74="YES"</formula>
    </cfRule>
  </conditionalFormatting>
  <conditionalFormatting sqref="P75:P76">
    <cfRule type="expression" dxfId="21" priority="20" stopIfTrue="1">
      <formula>NOT($G$74="YES")</formula>
    </cfRule>
  </conditionalFormatting>
  <conditionalFormatting sqref="R75:R76">
    <cfRule type="expression" dxfId="20" priority="19" stopIfTrue="1">
      <formula>$G$74="YES"</formula>
    </cfRule>
  </conditionalFormatting>
  <conditionalFormatting sqref="S78:S107">
    <cfRule type="expression" dxfId="19" priority="17" stopIfTrue="1">
      <formula>$G$74="YES"</formula>
    </cfRule>
  </conditionalFormatting>
  <conditionalFormatting sqref="S75">
    <cfRule type="expression" dxfId="18" priority="18" stopIfTrue="1">
      <formula>$G$74="YES"</formula>
    </cfRule>
  </conditionalFormatting>
  <conditionalFormatting sqref="Q74:T74">
    <cfRule type="expression" dxfId="17" priority="16" stopIfTrue="1">
      <formula>$G$74="YES"</formula>
    </cfRule>
  </conditionalFormatting>
  <conditionalFormatting sqref="J22">
    <cfRule type="expression" dxfId="16" priority="15" stopIfTrue="1">
      <formula>NOT(ROUND(SUM($I$13),4)=0)</formula>
    </cfRule>
  </conditionalFormatting>
  <conditionalFormatting sqref="R77">
    <cfRule type="expression" dxfId="15" priority="14" stopIfTrue="1">
      <formula>$G$74="YES"</formula>
    </cfRule>
  </conditionalFormatting>
  <conditionalFormatting sqref="Q78:Q80">
    <cfRule type="expression" dxfId="14" priority="13" stopIfTrue="1">
      <formula>$G$74="YES"</formula>
    </cfRule>
  </conditionalFormatting>
  <conditionalFormatting sqref="R78:R80">
    <cfRule type="expression" dxfId="13" priority="12" stopIfTrue="1">
      <formula>$G$74="YES"</formula>
    </cfRule>
  </conditionalFormatting>
  <conditionalFormatting sqref="Q81:Q108">
    <cfRule type="expression" dxfId="12" priority="11" stopIfTrue="1">
      <formula>$G$74="YES"</formula>
    </cfRule>
  </conditionalFormatting>
  <conditionalFormatting sqref="R81:R108">
    <cfRule type="expression" dxfId="11" priority="10" stopIfTrue="1">
      <formula>$G$74="YES"</formula>
    </cfRule>
  </conditionalFormatting>
  <conditionalFormatting sqref="O79">
    <cfRule type="expression" dxfId="10" priority="6" stopIfTrue="1">
      <formula>NOT($G$74="YES")</formula>
    </cfRule>
  </conditionalFormatting>
  <conditionalFormatting sqref="P77">
    <cfRule type="expression" dxfId="9" priority="9" stopIfTrue="1">
      <formula>$G$74="NO"</formula>
    </cfRule>
  </conditionalFormatting>
  <conditionalFormatting sqref="O78">
    <cfRule type="expression" dxfId="8" priority="8" stopIfTrue="1">
      <formula>NOT($G$74="YES")</formula>
    </cfRule>
  </conditionalFormatting>
  <conditionalFormatting sqref="P78">
    <cfRule type="expression" dxfId="7" priority="7" stopIfTrue="1">
      <formula>$G$74="NO"</formula>
    </cfRule>
  </conditionalFormatting>
  <conditionalFormatting sqref="P79">
    <cfRule type="expression" dxfId="6" priority="5" stopIfTrue="1">
      <formula>$G$74="NO"</formula>
    </cfRule>
  </conditionalFormatting>
  <conditionalFormatting sqref="O80:O108">
    <cfRule type="expression" dxfId="5" priority="4" stopIfTrue="1">
      <formula>NOT($G$74="YES")</formula>
    </cfRule>
  </conditionalFormatting>
  <conditionalFormatting sqref="P80:P108">
    <cfRule type="expression" dxfId="4" priority="3" stopIfTrue="1">
      <formula>$G$74="NO"</formula>
    </cfRule>
  </conditionalFormatting>
  <conditionalFormatting sqref="Q110">
    <cfRule type="expression" dxfId="3" priority="1" stopIfTrue="1">
      <formula>$G$74="YES"</formula>
    </cfRule>
  </conditionalFormatting>
  <conditionalFormatting sqref="O110">
    <cfRule type="expression" dxfId="2" priority="2" stopIfTrue="1">
      <formula>NOT($G$74="YES")</formula>
    </cfRule>
  </conditionalFormatting>
  <conditionalFormatting sqref="Q39:U48">
    <cfRule type="expression" dxfId="1" priority="27" stopIfTrue="1">
      <formula>$G$39=$C$72</formula>
    </cfRule>
  </conditionalFormatting>
  <conditionalFormatting sqref="M48:P48">
    <cfRule type="expression" dxfId="0" priority="28" stopIfTrue="1">
      <formula>AND($H$48="YES",$M$1=$D$72)</formula>
    </cfRule>
  </conditionalFormatting>
  <dataValidations xWindow="1061" yWindow="197" count="7">
    <dataValidation type="custom" allowBlank="1" showInputMessage="1" showErrorMessage="1" error="Please re-enter date; the first payment date must have the 1st day of the respective month." promptTitle="Date" prompt="Wring date entered; must start with the 1st of the month" sqref="M26:P26">
      <formula1>H26=1</formula1>
    </dataValidation>
    <dataValidation type="list" allowBlank="1" showInputMessage="1" showErrorMessage="1" sqref="M23:P23">
      <formula1>$F$7:$F$9</formula1>
    </dataValidation>
    <dataValidation type="list" allowBlank="1" showInputMessage="1" showErrorMessage="1" sqref="C13">
      <formula1>$E$7:$E$9</formula1>
    </dataValidation>
    <dataValidation allowBlank="1" showInputMessage="1" showErrorMessage="1" sqref="V74:Y74"/>
    <dataValidation type="list" allowBlank="1" showInputMessage="1" showErrorMessage="1" sqref="M1">
      <formula1>$C$72:$D$72</formula1>
    </dataValidation>
    <dataValidation type="list" allowBlank="1" showInputMessage="1" showErrorMessage="1" sqref="D26 R1">
      <formula1>$C$28:$C$29</formula1>
    </dataValidation>
    <dataValidation type="list" allowBlank="1" showInputMessage="1" showErrorMessage="1" sqref="G72:H73">
      <formula1>$G$223:$G$253</formula1>
    </dataValidation>
  </dataValidations>
  <printOptions horizontalCentered="1"/>
  <pageMargins left="0.1" right="0.1" top="0.22" bottom="0.35" header="0.3" footer="0.15"/>
  <pageSetup scale="85" orientation="portrait" r:id="rId1"/>
  <headerFooter>
    <oddFooter>&amp;CPage &amp;P of &amp;N</oddFooter>
  </headerFooter>
  <rowBreaks count="1" manualBreakCount="1">
    <brk id="70" min="9" max="17"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2A1B4DB08C3C4095AAF7AE872C003A" ma:contentTypeVersion="18" ma:contentTypeDescription="Create a new document." ma:contentTypeScope="" ma:versionID="adac987a268dccfff45724afcce98925">
  <xsd:schema xmlns:xsd="http://www.w3.org/2001/XMLSchema" xmlns:xs="http://www.w3.org/2001/XMLSchema" xmlns:p="http://schemas.microsoft.com/office/2006/metadata/properties" xmlns:ns1="http://schemas.microsoft.com/sharepoint/v3" xmlns:ns2="d2e1b830-f21a-4541-b5c6-9e163df8447e" targetNamespace="http://schemas.microsoft.com/office/2006/metadata/properties" ma:root="true" ma:fieldsID="5b99d5e6da2adf5668e0fdb43124bd47" ns1:_="" ns2:_="">
    <xsd:import namespace="http://schemas.microsoft.com/sharepoint/v3"/>
    <xsd:import namespace="d2e1b830-f21a-4541-b5c6-9e163df8447e"/>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hidden="true" ma:internalName="PublishingStartDate" ma:readOnly="false">
      <xsd:simpleType>
        <xsd:restriction base="dms:Unknown"/>
      </xsd:simpleType>
    </xsd:element>
    <xsd:element name="PublishingExpirationDate" ma:index="5"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e1b830-f21a-4541-b5c6-9e163df8447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6C22E20-D212-40F4-B796-CB90AB8D413A}"/>
</file>

<file path=customXml/itemProps2.xml><?xml version="1.0" encoding="utf-8"?>
<ds:datastoreItem xmlns:ds="http://schemas.openxmlformats.org/officeDocument/2006/customXml" ds:itemID="{4467E333-2A5D-40A5-B883-3924D0F8F081}"/>
</file>

<file path=customXml/itemProps3.xml><?xml version="1.0" encoding="utf-8"?>
<ds:datastoreItem xmlns:ds="http://schemas.openxmlformats.org/officeDocument/2006/customXml" ds:itemID="{82C3A08F-47AD-40B0-B222-B345E10018D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Web-site Calculator - 5-14-14</vt:lpstr>
      <vt:lpstr>'Web-site Calculator - 5-14-14'!Print_Area</vt:lpstr>
    </vt:vector>
  </TitlesOfParts>
  <Company>State of Maryland- DHCD 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MCCCalculator</dc:title>
  <dc:creator>Silver, Steve</dc:creator>
  <cp:lastModifiedBy>Pinel, Tim</cp:lastModifiedBy>
  <cp:lastPrinted>2014-05-14T19:49:57Z</cp:lastPrinted>
  <dcterms:created xsi:type="dcterms:W3CDTF">2014-04-29T22:22:47Z</dcterms:created>
  <dcterms:modified xsi:type="dcterms:W3CDTF">2014-05-29T20:42:57Z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2800</vt:r8>
  </property>
  <property fmtid="{D5CDD505-2E9C-101B-9397-08002B2CF9AE}" pid="3" name="TemplateUrl">
    <vt:lpwstr/>
  </property>
  <property fmtid="{D5CDD505-2E9C-101B-9397-08002B2CF9AE}" pid="4" name="xd_Signature">
    <vt:bool>false</vt:bool>
  </property>
  <property fmtid="{D5CDD505-2E9C-101B-9397-08002B2CF9AE}" pid="5" name="xd_ProgID">
    <vt:lpwstr/>
  </property>
  <property fmtid="{D5CDD505-2E9C-101B-9397-08002B2CF9AE}" pid="6" name="ContentTypeId">
    <vt:lpwstr>0x010100642A1B4DB08C3C4095AAF7AE872C003A</vt:lpwstr>
  </property>
  <property fmtid="{D5CDD505-2E9C-101B-9397-08002B2CF9AE}" pid="7" name="_SourceUrl">
    <vt:lpwstr/>
  </property>
  <property fmtid="{D5CDD505-2E9C-101B-9397-08002B2CF9AE}" pid="8" name="_SharedFileIndex">
    <vt:lpwstr/>
  </property>
  <property fmtid="{D5CDD505-2E9C-101B-9397-08002B2CF9AE}" pid="9" name="PublishingRollupImage">
    <vt:lpwstr/>
  </property>
  <property fmtid="{D5CDD505-2E9C-101B-9397-08002B2CF9AE}" pid="10" name="PublishingContactEmail">
    <vt:lpwstr/>
  </property>
  <property fmtid="{D5CDD505-2E9C-101B-9397-08002B2CF9AE}" pid="11"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Comments">
    <vt:lpwstr/>
  </property>
  <property fmtid="{D5CDD505-2E9C-101B-9397-08002B2CF9AE}" pid="15" name="PublishingPageLayout">
    <vt:lpwstr/>
  </property>
</Properties>
</file>